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0" yWindow="-45" windowWidth="15915" windowHeight="10080" tabRatio="676"/>
  </bookViews>
  <sheets>
    <sheet name="Title" sheetId="11" r:id="rId1"/>
    <sheet name="Prices" sheetId="2" r:id="rId2"/>
    <sheet name="Summary" sheetId="10" r:id="rId3"/>
    <sheet name="Yr 1 Operating Costs" sheetId="1" r:id="rId4"/>
    <sheet name="Yr 2 Operating Costs" sheetId="6" r:id="rId5"/>
    <sheet name="Capital Costs" sheetId="4" r:id="rId6"/>
    <sheet name="Hutch costs" sheetId="5" state="hidden" r:id="rId7"/>
  </sheets>
  <externalReferences>
    <externalReference r:id="rId8"/>
    <externalReference r:id="rId9"/>
  </externalReferences>
  <definedNames>
    <definedName name="ALFG_C">Prices!$E$22</definedName>
    <definedName name="ALFG_L">Prices!$G$22</definedName>
    <definedName name="ALFG_T">Prices!$C$22</definedName>
    <definedName name="ALFP_c">Prices!$E$21</definedName>
    <definedName name="ALFP_l">Prices!$G$21</definedName>
    <definedName name="ALFP_T">Prices!$C$21</definedName>
    <definedName name="b_C">Prices!$E$14</definedName>
    <definedName name="b_l">Prices!$G$14</definedName>
    <definedName name="B_t">Prices!$C$14</definedName>
    <definedName name="Can_c">Prices!$E$13</definedName>
    <definedName name="Can_l">Prices!$G$13</definedName>
    <definedName name="Can_t">Prices!$C$13</definedName>
    <definedName name="CM_c">Prices!$E$15</definedName>
    <definedName name="CM_l">Prices!$G$15</definedName>
    <definedName name="CM_t">Prices!$C$15</definedName>
    <definedName name="CRC">'Capital Costs'!$P$44</definedName>
    <definedName name="cs_c">Prices!$E$11</definedName>
    <definedName name="cs_l">Prices!$G$11</definedName>
    <definedName name="cs_t">Prices!$C$11</definedName>
    <definedName name="days">'Yr 1 Operating Costs'!$C$9</definedName>
    <definedName name="DDG_c">Prices!$E$16</definedName>
    <definedName name="DDG_l">Prices!$G$16</definedName>
    <definedName name="DDG_T">Prices!$C$16</definedName>
    <definedName name="ear_c">Prices!$E$12</definedName>
    <definedName name="ear_l">Prices!$G$12</definedName>
    <definedName name="ear_t">Prices!$C$12</definedName>
    <definedName name="FreeStall_No.">'[1]Table 1 Enterprise Budget'!$C$2</definedName>
    <definedName name="FreeStall_Prod.">[2]Summary!$B$3</definedName>
    <definedName name="h">Prices!$E$33</definedName>
    <definedName name="HAYF_C">Prices!$E$23</definedName>
    <definedName name="HAYF_L">Prices!$G$23</definedName>
    <definedName name="HAYF_T">Prices!$C$23</definedName>
    <definedName name="Head">'Yr 1 Operating Costs'!$E$2</definedName>
    <definedName name="HM_C">Prices!$C$6</definedName>
    <definedName name="HM_L">Prices!$G$6</definedName>
    <definedName name="hm_t">Prices!$C$33</definedName>
    <definedName name="hmin_c">Prices!$C$6</definedName>
    <definedName name="hmin_l">Prices!$G$33</definedName>
    <definedName name="min_c">Prices!$E$32</definedName>
    <definedName name="min_l">Prices!$G$32</definedName>
    <definedName name="min_t">Prices!$C$32</definedName>
    <definedName name="MR_C">Prices!$C$7</definedName>
    <definedName name="NR_L">Prices!$G$7</definedName>
    <definedName name="Pmilk">[2]Summary!$B$4</definedName>
    <definedName name="_xlnm.Print_Area" localSheetId="5">'Capital Costs'!$A$1:$P$44</definedName>
    <definedName name="_xlnm.Print_Area" localSheetId="1">Prices!$B$1:$H$57</definedName>
    <definedName name="_xlnm.Print_Area" localSheetId="3">'Yr 1 Operating Costs'!$A$3:$P$82</definedName>
    <definedName name="_xlnm.Print_Area" localSheetId="4">'Yr 2 Operating Costs'!$A$3:$P$81</definedName>
    <definedName name="_xlnm.Print_Titles" localSheetId="3">'Yr 1 Operating Costs'!$3:$6</definedName>
    <definedName name="_xlnm.Print_Titles" localSheetId="4">'Yr 2 Operating Costs'!$3:$7</definedName>
    <definedName name="STRAW_C">Prices!$E$24</definedName>
    <definedName name="STRAW_L">Prices!$G$24</definedName>
    <definedName name="STRAW_T">Prices!$C$24</definedName>
    <definedName name="top_c">Prices!$E$17</definedName>
    <definedName name="top_l">Prices!$G$17</definedName>
    <definedName name="top_t">Prices!$C$17</definedName>
  </definedNames>
  <calcPr calcId="145621" concurrentCalc="0"/>
</workbook>
</file>

<file path=xl/calcChain.xml><?xml version="1.0" encoding="utf-8"?>
<calcChain xmlns="http://schemas.openxmlformats.org/spreadsheetml/2006/main">
  <c r="D11" i="10" l="1"/>
  <c r="D9" i="10"/>
  <c r="D12" i="10"/>
  <c r="D13" i="10"/>
  <c r="D10" i="10"/>
  <c r="D8" i="10"/>
  <c r="D7" i="10"/>
  <c r="D6" i="10"/>
  <c r="D5" i="10"/>
  <c r="E11" i="10"/>
  <c r="E9" i="10"/>
  <c r="E12" i="10"/>
  <c r="E4" i="10"/>
  <c r="E13" i="10"/>
  <c r="E10" i="10"/>
  <c r="E8" i="10"/>
  <c r="E7" i="10"/>
  <c r="E6" i="10"/>
  <c r="E5" i="10"/>
  <c r="C16" i="4"/>
  <c r="I16" i="4"/>
  <c r="P16" i="4"/>
  <c r="P43" i="4"/>
  <c r="P44" i="4"/>
  <c r="I74" i="1"/>
  <c r="M74" i="1"/>
  <c r="M75" i="1"/>
  <c r="M12" i="1"/>
  <c r="Q19" i="1"/>
  <c r="K16" i="1"/>
  <c r="K17" i="1"/>
  <c r="K15" i="1"/>
  <c r="M15" i="1"/>
  <c r="T15" i="1"/>
  <c r="I20" i="1"/>
  <c r="K20" i="1"/>
  <c r="M20" i="1"/>
  <c r="I21" i="1"/>
  <c r="K21" i="1"/>
  <c r="M21" i="1"/>
  <c r="K22" i="1"/>
  <c r="M22" i="1"/>
  <c r="M19" i="1"/>
  <c r="T19" i="1"/>
  <c r="Q25" i="1"/>
  <c r="M26" i="1"/>
  <c r="M27" i="1"/>
  <c r="M28" i="1"/>
  <c r="M25" i="1"/>
  <c r="T25" i="1"/>
  <c r="Q30" i="1"/>
  <c r="I31" i="1"/>
  <c r="M31" i="1"/>
  <c r="I32" i="1"/>
  <c r="M32" i="1"/>
  <c r="I33" i="1"/>
  <c r="M33" i="1"/>
  <c r="K31" i="1"/>
  <c r="K32" i="1"/>
  <c r="K33" i="1"/>
  <c r="I34" i="1"/>
  <c r="M34" i="1"/>
  <c r="M30" i="1"/>
  <c r="T30" i="1"/>
  <c r="Q36" i="1"/>
  <c r="I37" i="1"/>
  <c r="M37" i="1"/>
  <c r="I38" i="1"/>
  <c r="M38" i="1"/>
  <c r="I39" i="1"/>
  <c r="M39" i="1"/>
  <c r="K37" i="1"/>
  <c r="K38" i="1"/>
  <c r="I40" i="1"/>
  <c r="M40" i="1"/>
  <c r="M36" i="1"/>
  <c r="T36" i="1"/>
  <c r="T42" i="1"/>
  <c r="M42" i="1"/>
  <c r="M45" i="1"/>
  <c r="M46" i="1"/>
  <c r="M47" i="1"/>
  <c r="M48" i="1"/>
  <c r="M49" i="1"/>
  <c r="I50" i="1"/>
  <c r="M50" i="1"/>
  <c r="M51" i="1"/>
  <c r="I52" i="1"/>
  <c r="M52" i="1"/>
  <c r="I53" i="1"/>
  <c r="M53" i="1"/>
  <c r="I54" i="1"/>
  <c r="M54" i="1"/>
  <c r="M55" i="1"/>
  <c r="M44" i="1"/>
  <c r="K58" i="1"/>
  <c r="M58" i="1"/>
  <c r="Q58" i="1"/>
  <c r="T58" i="1"/>
  <c r="K59" i="1"/>
  <c r="M59" i="1"/>
  <c r="Q59" i="1"/>
  <c r="T59" i="1"/>
  <c r="M57" i="1"/>
  <c r="M63" i="1"/>
  <c r="M62" i="1"/>
  <c r="M66" i="1"/>
  <c r="M76" i="1"/>
  <c r="M79" i="1"/>
  <c r="M68" i="1"/>
  <c r="M70" i="1"/>
  <c r="M81" i="1"/>
  <c r="I75" i="6"/>
  <c r="M75" i="6"/>
  <c r="O75" i="6"/>
  <c r="I72" i="6"/>
  <c r="M72" i="6"/>
  <c r="O72" i="6"/>
  <c r="O73" i="6"/>
  <c r="O74" i="6"/>
  <c r="O77" i="6"/>
  <c r="O61" i="6"/>
  <c r="O60" i="6"/>
  <c r="O57" i="6"/>
  <c r="O58" i="6"/>
  <c r="O56" i="6"/>
  <c r="O44" i="6"/>
  <c r="O45" i="6"/>
  <c r="O46" i="6"/>
  <c r="O47" i="6"/>
  <c r="O48" i="6"/>
  <c r="O49" i="6"/>
  <c r="O50" i="6"/>
  <c r="O51" i="6"/>
  <c r="O52" i="6"/>
  <c r="O53" i="6"/>
  <c r="O54" i="6"/>
  <c r="O43" i="6"/>
  <c r="O16" i="6"/>
  <c r="V16" i="6"/>
  <c r="O22" i="6"/>
  <c r="V22" i="6"/>
  <c r="O29" i="6"/>
  <c r="O30" i="6"/>
  <c r="O31" i="6"/>
  <c r="O32" i="6"/>
  <c r="O28" i="6"/>
  <c r="V28" i="6"/>
  <c r="O34" i="6"/>
  <c r="V34" i="6"/>
  <c r="V41" i="6"/>
  <c r="O41" i="6"/>
  <c r="O64" i="6"/>
  <c r="O79" i="6"/>
  <c r="M77" i="6"/>
  <c r="M79" i="6"/>
  <c r="M74" i="6"/>
  <c r="I40" i="4"/>
  <c r="I41" i="4"/>
  <c r="L38" i="4"/>
  <c r="I44" i="4"/>
  <c r="Q24" i="1"/>
  <c r="K27" i="1"/>
  <c r="K26" i="1"/>
  <c r="K28" i="1"/>
  <c r="K25" i="1"/>
  <c r="R25" i="1"/>
  <c r="R15" i="1"/>
  <c r="K19" i="1"/>
  <c r="R19" i="1"/>
  <c r="K34" i="1"/>
  <c r="K30" i="1"/>
  <c r="R30" i="1"/>
  <c r="K39" i="1"/>
  <c r="K40" i="1"/>
  <c r="K36" i="1"/>
  <c r="R36" i="1"/>
  <c r="R42" i="1"/>
  <c r="Q15" i="1"/>
  <c r="G5" i="2"/>
  <c r="G11" i="2"/>
  <c r="G12" i="2"/>
  <c r="G22" i="2"/>
  <c r="I17" i="6"/>
  <c r="M17" i="6"/>
  <c r="I18" i="6"/>
  <c r="M18" i="6"/>
  <c r="I19" i="6"/>
  <c r="M19" i="6"/>
  <c r="K17" i="6"/>
  <c r="K18" i="6"/>
  <c r="I20" i="6"/>
  <c r="M20" i="6"/>
  <c r="M16" i="6"/>
  <c r="T16" i="6"/>
  <c r="G13" i="2"/>
  <c r="I23" i="6"/>
  <c r="M23" i="6"/>
  <c r="I24" i="6"/>
  <c r="M24" i="6"/>
  <c r="I25" i="6"/>
  <c r="M25" i="6"/>
  <c r="K23" i="6"/>
  <c r="K24" i="6"/>
  <c r="I26" i="6"/>
  <c r="M26" i="6"/>
  <c r="M22" i="6"/>
  <c r="T22" i="6"/>
  <c r="I29" i="6"/>
  <c r="M29" i="6"/>
  <c r="M30" i="6"/>
  <c r="I31" i="6"/>
  <c r="M31" i="6"/>
  <c r="K29" i="6"/>
  <c r="K30" i="6"/>
  <c r="I32" i="6"/>
  <c r="M32" i="6"/>
  <c r="M28" i="6"/>
  <c r="T28" i="6"/>
  <c r="I35" i="6"/>
  <c r="K35" i="6"/>
  <c r="I36" i="6"/>
  <c r="K36" i="6"/>
  <c r="G17" i="2"/>
  <c r="I37" i="6"/>
  <c r="K37" i="6"/>
  <c r="I38" i="6"/>
  <c r="K38" i="6"/>
  <c r="I39" i="6"/>
  <c r="K39" i="6"/>
  <c r="K34" i="6"/>
  <c r="M34" i="6"/>
  <c r="T34" i="6"/>
  <c r="T41" i="6"/>
  <c r="M41" i="6"/>
  <c r="M64" i="6"/>
  <c r="M66" i="6"/>
  <c r="M45" i="6"/>
  <c r="M43" i="6"/>
  <c r="M57" i="6"/>
  <c r="Q34" i="6"/>
  <c r="Q28" i="6"/>
  <c r="Q22" i="6"/>
  <c r="Q16" i="6"/>
  <c r="R34" i="6"/>
  <c r="K25" i="6"/>
  <c r="K26" i="6"/>
  <c r="K22" i="6"/>
  <c r="R22" i="6"/>
  <c r="K31" i="6"/>
  <c r="K32" i="6"/>
  <c r="K28" i="6"/>
  <c r="R28" i="6"/>
  <c r="K19" i="6"/>
  <c r="K20" i="6"/>
  <c r="K16" i="6"/>
  <c r="R16" i="6"/>
  <c r="K76" i="1"/>
  <c r="K75" i="1"/>
  <c r="O76" i="1"/>
  <c r="O75" i="1"/>
  <c r="K74" i="1"/>
  <c r="O63" i="1"/>
  <c r="O62" i="1"/>
  <c r="K63" i="1"/>
  <c r="K62" i="1"/>
  <c r="V61" i="1"/>
  <c r="T61" i="1"/>
  <c r="R61" i="1"/>
  <c r="M60" i="1"/>
  <c r="O60" i="1"/>
  <c r="O59" i="1"/>
  <c r="O58" i="1"/>
  <c r="O55" i="1"/>
  <c r="K55" i="1"/>
  <c r="O51" i="1"/>
  <c r="O49" i="1"/>
  <c r="K49" i="1"/>
  <c r="O48" i="1"/>
  <c r="O47" i="1"/>
  <c r="K47" i="1"/>
  <c r="O46" i="1"/>
  <c r="O45" i="1"/>
  <c r="K45" i="1"/>
  <c r="O39" i="1"/>
  <c r="O38" i="1"/>
  <c r="O33" i="1"/>
  <c r="O32" i="1"/>
  <c r="O28" i="1"/>
  <c r="O27" i="1"/>
  <c r="O26" i="1"/>
  <c r="O25" i="1"/>
  <c r="V25" i="1"/>
  <c r="O22" i="1"/>
  <c r="O21" i="1"/>
  <c r="M17" i="1"/>
  <c r="O17" i="1"/>
  <c r="M16" i="1"/>
  <c r="O16" i="1"/>
  <c r="O15" i="1"/>
  <c r="K12" i="1"/>
  <c r="O9" i="1"/>
  <c r="K9" i="1"/>
  <c r="O8" i="1"/>
  <c r="K8" i="1"/>
  <c r="O31" i="1"/>
  <c r="O37" i="1"/>
  <c r="O40" i="1"/>
  <c r="O36" i="1"/>
  <c r="V36" i="1"/>
  <c r="O53" i="1"/>
  <c r="K53" i="1"/>
  <c r="K79" i="1"/>
  <c r="O50" i="1"/>
  <c r="O52" i="1"/>
  <c r="O54" i="1"/>
  <c r="O44" i="1"/>
  <c r="K50" i="1"/>
  <c r="K44" i="1"/>
  <c r="K52" i="1"/>
  <c r="K54" i="1"/>
  <c r="O74" i="1"/>
  <c r="O79" i="1"/>
  <c r="O12" i="1"/>
  <c r="K46" i="1"/>
  <c r="K48" i="1"/>
  <c r="K51" i="1"/>
  <c r="R58" i="1"/>
  <c r="V58" i="1"/>
  <c r="V59" i="1"/>
  <c r="O57" i="1"/>
  <c r="R59" i="1"/>
  <c r="K57" i="1"/>
  <c r="Q79" i="1"/>
  <c r="O20" i="1"/>
  <c r="O19" i="1"/>
  <c r="V19" i="1"/>
  <c r="K42" i="1"/>
  <c r="K66" i="1"/>
  <c r="Q57" i="1"/>
  <c r="C14" i="2"/>
  <c r="C21" i="2"/>
  <c r="O34" i="1"/>
  <c r="O30" i="1"/>
  <c r="V30" i="1"/>
  <c r="V42" i="1"/>
  <c r="O42" i="1"/>
  <c r="O66" i="1"/>
  <c r="O68" i="1"/>
  <c r="O70" i="1"/>
  <c r="O81" i="1"/>
  <c r="K68" i="1"/>
  <c r="K70" i="1"/>
  <c r="K81" i="1"/>
  <c r="Q66" i="1"/>
  <c r="R66" i="1"/>
  <c r="G73" i="6"/>
  <c r="G74" i="6"/>
  <c r="G75" i="6"/>
  <c r="K73" i="6"/>
  <c r="K57" i="6"/>
  <c r="K56" i="6"/>
  <c r="Q70" i="1"/>
  <c r="M11" i="6"/>
  <c r="O11" i="6"/>
  <c r="O10" i="6"/>
  <c r="K11" i="6"/>
  <c r="M73" i="6"/>
  <c r="M61" i="6"/>
  <c r="M60" i="6"/>
  <c r="K61" i="6"/>
  <c r="K60" i="6"/>
  <c r="M58" i="6"/>
  <c r="M54" i="6"/>
  <c r="K54" i="6"/>
  <c r="I53" i="6"/>
  <c r="M53" i="6"/>
  <c r="I52" i="6"/>
  <c r="M52" i="6"/>
  <c r="I51" i="6"/>
  <c r="M51" i="6"/>
  <c r="M50" i="6"/>
  <c r="K50" i="6"/>
  <c r="I49" i="6"/>
  <c r="M49" i="6"/>
  <c r="K49" i="6"/>
  <c r="M48" i="6"/>
  <c r="M47" i="6"/>
  <c r="K47" i="6"/>
  <c r="M46" i="6"/>
  <c r="K45" i="6"/>
  <c r="M44" i="6"/>
  <c r="K44" i="6"/>
  <c r="O23" i="6"/>
  <c r="K10" i="6"/>
  <c r="K46" i="6"/>
  <c r="I16" i="5"/>
  <c r="I15" i="5"/>
  <c r="I11" i="5"/>
  <c r="I10" i="5"/>
  <c r="I8" i="5"/>
  <c r="I18" i="5"/>
  <c r="I9" i="5"/>
  <c r="I9" i="4"/>
  <c r="P9" i="4"/>
  <c r="I12" i="4"/>
  <c r="P12" i="4"/>
  <c r="E33" i="2"/>
  <c r="G33" i="2"/>
  <c r="E13" i="2"/>
  <c r="G23" i="2"/>
  <c r="E17" i="2"/>
  <c r="G32" i="2"/>
  <c r="G21" i="2"/>
  <c r="G10" i="2"/>
  <c r="E10" i="2"/>
  <c r="I30" i="4"/>
  <c r="P30" i="4"/>
  <c r="I13" i="4"/>
  <c r="P13" i="4"/>
  <c r="I11" i="4"/>
  <c r="I17" i="4"/>
  <c r="I35" i="4"/>
  <c r="M30" i="4"/>
  <c r="L29" i="4"/>
  <c r="M29" i="4"/>
  <c r="I29" i="4"/>
  <c r="L28" i="4"/>
  <c r="M28" i="4"/>
  <c r="P28" i="4"/>
  <c r="I28" i="4"/>
  <c r="L27" i="4"/>
  <c r="M27" i="4"/>
  <c r="P27" i="4"/>
  <c r="I27" i="4"/>
  <c r="L26" i="4"/>
  <c r="M26" i="4"/>
  <c r="I26" i="4"/>
  <c r="L25" i="4"/>
  <c r="M25" i="4"/>
  <c r="I25" i="4"/>
  <c r="L24" i="4"/>
  <c r="M24" i="4"/>
  <c r="I24" i="4"/>
  <c r="P24" i="4"/>
  <c r="L23" i="4"/>
  <c r="M23" i="4"/>
  <c r="I23" i="4"/>
  <c r="P23" i="4"/>
  <c r="L22" i="4"/>
  <c r="I22" i="4"/>
  <c r="P22" i="4"/>
  <c r="L21" i="4"/>
  <c r="M21" i="4"/>
  <c r="I21" i="4"/>
  <c r="P25" i="4"/>
  <c r="P29" i="4"/>
  <c r="I8" i="4"/>
  <c r="G24" i="2"/>
  <c r="E24" i="2"/>
  <c r="E32" i="2"/>
  <c r="G28" i="2"/>
  <c r="G27" i="2"/>
  <c r="G16" i="2"/>
  <c r="G15" i="2"/>
  <c r="G14" i="2"/>
  <c r="E28" i="2"/>
  <c r="E27" i="2"/>
  <c r="E23" i="2"/>
  <c r="E22" i="2"/>
  <c r="E21" i="2"/>
  <c r="E16" i="2"/>
  <c r="E15" i="2"/>
  <c r="E14" i="2"/>
  <c r="E12" i="2"/>
  <c r="E11" i="2"/>
  <c r="K51" i="6"/>
  <c r="K53" i="6"/>
  <c r="K48" i="6"/>
  <c r="M56" i="6"/>
  <c r="O9" i="6"/>
  <c r="I15" i="4"/>
  <c r="G33" i="4"/>
  <c r="L37" i="4"/>
  <c r="K52" i="6"/>
  <c r="K74" i="6"/>
  <c r="K72" i="6"/>
  <c r="P26" i="4"/>
  <c r="M38" i="6"/>
  <c r="O38" i="6"/>
  <c r="M35" i="6"/>
  <c r="O35" i="6"/>
  <c r="M37" i="6"/>
  <c r="O37" i="6"/>
  <c r="P21" i="4"/>
  <c r="I20" i="4"/>
  <c r="G34" i="4"/>
  <c r="I34" i="4"/>
  <c r="M22" i="4"/>
  <c r="M9" i="6"/>
  <c r="K43" i="6"/>
  <c r="M36" i="6"/>
  <c r="O36" i="6"/>
  <c r="O25" i="6"/>
  <c r="I33" i="4"/>
  <c r="I32" i="4"/>
  <c r="K9" i="6"/>
  <c r="O18" i="6"/>
  <c r="O19" i="6"/>
  <c r="P20" i="4"/>
  <c r="I43" i="4"/>
  <c r="I37" i="4"/>
  <c r="I38" i="4"/>
  <c r="M39" i="6"/>
  <c r="O39" i="6"/>
  <c r="O24" i="6"/>
  <c r="O17" i="6"/>
  <c r="O26" i="6"/>
  <c r="O20" i="6"/>
  <c r="R41" i="6"/>
  <c r="K41" i="6"/>
  <c r="K64" i="6"/>
  <c r="K66" i="6"/>
  <c r="K68" i="6"/>
  <c r="M68" i="6"/>
  <c r="K75" i="6"/>
  <c r="K77" i="6"/>
  <c r="K79" i="6"/>
  <c r="K81" i="6"/>
  <c r="O66" i="6"/>
  <c r="O68" i="6"/>
  <c r="O81" i="6"/>
  <c r="M81" i="6"/>
</calcChain>
</file>

<file path=xl/comments1.xml><?xml version="1.0" encoding="utf-8"?>
<comments xmlns="http://schemas.openxmlformats.org/spreadsheetml/2006/main">
  <authors>
    <author>Kate Painter</author>
    <author>Painter, Kathleen</author>
  </authors>
  <commentList>
    <comment ref="A57" authorId="0">
      <text>
        <r>
          <rPr>
            <b/>
            <sz val="9"/>
            <color indexed="81"/>
            <rFont val="Calibri"/>
            <family val="2"/>
          </rPr>
          <t>Labor for calves through 4 months is $5,000 per month (approx 200 - 220 head). Labor for heifers age 5 month to close-up is $2500 per month.</t>
        </r>
      </text>
    </comment>
    <comment ref="M74" authorId="1">
      <text>
        <r>
          <rPr>
            <b/>
            <sz val="9"/>
            <color indexed="81"/>
            <rFont val="Tahoma"/>
            <family val="2"/>
          </rPr>
          <t>Painter, Kathleen:</t>
        </r>
        <r>
          <rPr>
            <sz val="9"/>
            <color indexed="81"/>
            <rFont val="Tahoma"/>
            <family val="2"/>
          </rPr>
          <t xml:space="preserve">
Annual capital recovery costs are multiplied by 1.85 years per heifer (675 days)
 </t>
        </r>
      </text>
    </comment>
    <comment ref="M76" authorId="1">
      <text>
        <r>
          <rPr>
            <b/>
            <sz val="9"/>
            <color indexed="81"/>
            <rFont val="Tahoma"/>
            <family val="2"/>
          </rPr>
          <t>Painter, Kathleen:</t>
        </r>
        <r>
          <rPr>
            <sz val="9"/>
            <color indexed="81"/>
            <rFont val="Tahoma"/>
            <family val="2"/>
          </rPr>
          <t xml:space="preserve">
Annual capital recovery costs are multiplied by 1.85 years per heifer (675 days)
 </t>
        </r>
      </text>
    </comment>
  </commentList>
</comments>
</file>

<file path=xl/comments2.xml><?xml version="1.0" encoding="utf-8"?>
<comments xmlns="http://schemas.openxmlformats.org/spreadsheetml/2006/main">
  <authors>
    <author>Kate Painter</author>
    <author>Painter, Kathleen</author>
  </authors>
  <commentList>
    <comment ref="A37" authorId="0">
      <text>
        <r>
          <rPr>
            <sz val="9"/>
            <color indexed="81"/>
            <rFont val="Calibri"/>
            <family val="2"/>
          </rPr>
          <t>60% barley, 20% distillers, 20% canola meal</t>
        </r>
      </text>
    </comment>
    <comment ref="A56" authorId="0">
      <text>
        <r>
          <rPr>
            <b/>
            <sz val="9"/>
            <color indexed="81"/>
            <rFont val="Calibri"/>
            <family val="2"/>
          </rPr>
          <t>Labor for calves through 4 months is $5,000 per month (approx 200 - 220 head). Labor for heifers age 5 month to close-up is $2500 per month.</t>
        </r>
      </text>
    </comment>
    <comment ref="M72" authorId="1">
      <text>
        <r>
          <rPr>
            <b/>
            <sz val="9"/>
            <color indexed="81"/>
            <rFont val="Tahoma"/>
            <family val="2"/>
          </rPr>
          <t>Painter, Kathleen:</t>
        </r>
        <r>
          <rPr>
            <sz val="9"/>
            <color indexed="81"/>
            <rFont val="Tahoma"/>
            <family val="2"/>
          </rPr>
          <t xml:space="preserve">
Annual capital recovery costs are multiplied by 1.85 years per heifer (675 days)
 </t>
        </r>
      </text>
    </comment>
    <comment ref="M74" authorId="1">
      <text>
        <r>
          <rPr>
            <b/>
            <sz val="9"/>
            <color indexed="81"/>
            <rFont val="Tahoma"/>
            <family val="2"/>
          </rPr>
          <t>Painter, Kathleen:</t>
        </r>
        <r>
          <rPr>
            <sz val="9"/>
            <color indexed="81"/>
            <rFont val="Tahoma"/>
            <family val="2"/>
          </rPr>
          <t xml:space="preserve">
Annual capital recovery costs are multiplied by 1.85 years per heifer (675 days)
 </t>
        </r>
      </text>
    </comment>
  </commentList>
</comments>
</file>

<file path=xl/comments3.xml><?xml version="1.0" encoding="utf-8"?>
<comments xmlns="http://schemas.openxmlformats.org/spreadsheetml/2006/main">
  <authors>
    <author>Kate Painter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Kate Painter:</t>
        </r>
        <r>
          <rPr>
            <sz val="9"/>
            <color indexed="81"/>
            <rFont val="Tahoma"/>
            <family val="2"/>
          </rPr>
          <t xml:space="preserve">
10' concrete walls, covered</t>
        </r>
      </text>
    </comment>
  </commentList>
</comments>
</file>

<file path=xl/sharedStrings.xml><?xml version="1.0" encoding="utf-8"?>
<sst xmlns="http://schemas.openxmlformats.org/spreadsheetml/2006/main" count="474" uniqueCount="221">
  <si>
    <t>Change values in red and blue type to see global changes.</t>
  </si>
  <si>
    <t>Quantity</t>
  </si>
  <si>
    <t>Item</t>
  </si>
  <si>
    <t>Unit</t>
  </si>
  <si>
    <t>Cost</t>
  </si>
  <si>
    <t>Income:</t>
  </si>
  <si>
    <t>cwt</t>
  </si>
  <si>
    <t>head</t>
  </si>
  <si>
    <t>Operating Costs:</t>
  </si>
  <si>
    <t>Total Operating Costs</t>
  </si>
  <si>
    <t>Fixed Costs:</t>
  </si>
  <si>
    <t>Insurance*</t>
  </si>
  <si>
    <t>herd</t>
  </si>
  <si>
    <t>*See Table 2.</t>
  </si>
  <si>
    <t>Total Fixed Costs</t>
  </si>
  <si>
    <t>Total Costs (Operating and Fixed)</t>
  </si>
  <si>
    <t>Net Returns Above Total Costs</t>
  </si>
  <si>
    <t>hd</t>
  </si>
  <si>
    <t xml:space="preserve">Balanced ration powdered milk </t>
  </si>
  <si>
    <t>Hospital milk, pasteurized</t>
  </si>
  <si>
    <t>Feed  (head/day):</t>
  </si>
  <si>
    <t>lb</t>
  </si>
  <si>
    <t>Colostrum</t>
  </si>
  <si>
    <t>Hay</t>
  </si>
  <si>
    <t>Months 3-4</t>
  </si>
  <si>
    <t>Liquid feeding phase (Months 1-2)</t>
  </si>
  <si>
    <t>Months 5-6</t>
  </si>
  <si>
    <t>Day old</t>
  </si>
  <si>
    <t>Calf starter</t>
  </si>
  <si>
    <t>Mineral</t>
  </si>
  <si>
    <t>Replacement heifers</t>
  </si>
  <si>
    <t>Corn Silage</t>
  </si>
  <si>
    <t>Earlage</t>
  </si>
  <si>
    <t>Months 16-19</t>
  </si>
  <si>
    <t>Topdress</t>
  </si>
  <si>
    <t>Period</t>
  </si>
  <si>
    <t>(days)</t>
  </si>
  <si>
    <t>Months 20-22.5</t>
  </si>
  <si>
    <t>dose</t>
  </si>
  <si>
    <t>Kathleen Painter</t>
  </si>
  <si>
    <t>and</t>
  </si>
  <si>
    <r>
      <t>C. Wilson Gray</t>
    </r>
    <r>
      <rPr>
        <vertAlign val="superscript"/>
        <sz val="10"/>
        <rFont val="Arial"/>
        <family val="2"/>
      </rPr>
      <t>1</t>
    </r>
  </si>
  <si>
    <t>Budget spreadsheets are available at the following link:</t>
  </si>
  <si>
    <t>EBBDR1-12 Costs and Returns for Raising Holstein Replacement Heifers</t>
  </si>
  <si>
    <t>Input Prices by Year (from annual UI input cost survey)</t>
  </si>
  <si>
    <t>acre</t>
  </si>
  <si>
    <r>
      <t>Labor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:</t>
    </r>
  </si>
  <si>
    <t>Hourly machine labor</t>
  </si>
  <si>
    <t>hour</t>
  </si>
  <si>
    <t>Other labor</t>
  </si>
  <si>
    <t>Overhead:</t>
  </si>
  <si>
    <r>
      <t>Overhead</t>
    </r>
    <r>
      <rPr>
        <vertAlign val="superscript"/>
        <sz val="11"/>
        <rFont val="Arial"/>
        <family val="2"/>
      </rPr>
      <t>3</t>
    </r>
  </si>
  <si>
    <t>percent</t>
  </si>
  <si>
    <t>Management fee:</t>
  </si>
  <si>
    <r>
      <t>Management fee</t>
    </r>
    <r>
      <rPr>
        <vertAlign val="superscript"/>
        <sz val="11"/>
        <rFont val="Arial"/>
        <family val="2"/>
      </rPr>
      <t>4</t>
    </r>
  </si>
  <si>
    <t>Cash rent:</t>
  </si>
  <si>
    <t>Cash rent</t>
  </si>
  <si>
    <t>Land Tax:</t>
  </si>
  <si>
    <t>Land Tax</t>
  </si>
  <si>
    <t>Interest:</t>
  </si>
  <si>
    <t>Operating Loan</t>
  </si>
  <si>
    <t>Machinery Loan/investment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</si>
  <si>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Crop insurance estimates cost of premium for the specified % of estimated revenue.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</si>
  <si>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Includes all applicable state and federal taxes.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</si>
  <si>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Calculates legal, accounting, and utility fees as a percentage of operating expenses.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</si>
  <si>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>Calculated as a percentage of gross revenue.</t>
    </r>
  </si>
  <si>
    <t>Corn silage</t>
  </si>
  <si>
    <t>Barley</t>
  </si>
  <si>
    <t>Canola meal</t>
  </si>
  <si>
    <t>Distillers Dried Grain</t>
  </si>
  <si>
    <t>$/unit</t>
  </si>
  <si>
    <t>ton</t>
  </si>
  <si>
    <t>Grain:</t>
  </si>
  <si>
    <t>Hay:</t>
  </si>
  <si>
    <t>Alfalfa, premium</t>
  </si>
  <si>
    <t>Straw</t>
  </si>
  <si>
    <t>Molasses</t>
  </si>
  <si>
    <t>Tallow</t>
  </si>
  <si>
    <t>Minerals:</t>
  </si>
  <si>
    <t>Close-up heifer mineral</t>
  </si>
  <si>
    <t>Alfalfa, good</t>
  </si>
  <si>
    <t>Hay, feeder</t>
  </si>
  <si>
    <t>Other:</t>
  </si>
  <si>
    <t>Baby calf purchase</t>
  </si>
  <si>
    <t>(units/head)</t>
  </si>
  <si>
    <t>NUMBER OF CALVES:</t>
  </si>
  <si>
    <t>Annual capital recovery costs*</t>
  </si>
  <si>
    <t>Annual overhead (2.5% Oper Costs)</t>
  </si>
  <si>
    <t>Milk:</t>
  </si>
  <si>
    <t>Hospital milk</t>
  </si>
  <si>
    <t>Milk replacer (balanced ration)</t>
  </si>
  <si>
    <t>Vaccination/Veterinary Expenses</t>
  </si>
  <si>
    <t>Scour bolus</t>
  </si>
  <si>
    <t>Inforce (2cc)</t>
  </si>
  <si>
    <t>Vit E (4cc)</t>
  </si>
  <si>
    <t>Ultrabac 8 (5cc)</t>
  </si>
  <si>
    <t>Bovishield 5 Gold (2cc)</t>
  </si>
  <si>
    <t>Spirovac (2cc)</t>
  </si>
  <si>
    <t>Bangs (brucella)</t>
  </si>
  <si>
    <t>Magnet</t>
  </si>
  <si>
    <t>Pfizer J-5 (5cc)</t>
  </si>
  <si>
    <t>SRP (2cc)</t>
  </si>
  <si>
    <t>Price or</t>
  </si>
  <si>
    <t>Value or</t>
  </si>
  <si>
    <t xml:space="preserve">Years </t>
  </si>
  <si>
    <t>Salvage</t>
  </si>
  <si>
    <t xml:space="preserve">Discount </t>
  </si>
  <si>
    <t>Capital</t>
  </si>
  <si>
    <t>Per Dairy</t>
  </si>
  <si>
    <t>of Life</t>
  </si>
  <si>
    <t>Value</t>
  </si>
  <si>
    <t>Rate</t>
  </si>
  <si>
    <t>Recovery</t>
  </si>
  <si>
    <t xml:space="preserve"> (n)</t>
  </si>
  <si>
    <t>($/head)</t>
  </si>
  <si>
    <t>($/herd)</t>
  </si>
  <si>
    <t>(i)</t>
  </si>
  <si>
    <t>Factor</t>
  </si>
  <si>
    <t>Initial Capital Outlays:</t>
  </si>
  <si>
    <t>Land:</t>
  </si>
  <si>
    <t>Land purchase</t>
  </si>
  <si>
    <t>ac</t>
  </si>
  <si>
    <t>Feeding Facilities:</t>
  </si>
  <si>
    <t>farm</t>
  </si>
  <si>
    <t>stall</t>
  </si>
  <si>
    <t>Total:</t>
  </si>
  <si>
    <t>Farm pickups, used</t>
  </si>
  <si>
    <t>4-wheelers</t>
  </si>
  <si>
    <t>Tractor-125 HP</t>
  </si>
  <si>
    <t>Straw Spreader</t>
  </si>
  <si>
    <t>Dump truck</t>
  </si>
  <si>
    <t>Boxscraper</t>
  </si>
  <si>
    <t>Gooseneck trailer, 28'</t>
  </si>
  <si>
    <t>Miscellaneous</t>
  </si>
  <si>
    <t>Insurance:</t>
  </si>
  <si>
    <t>Insur., facilities @ $5 per $1,000</t>
  </si>
  <si>
    <t xml:space="preserve">Insur., machinery, @ $4 per $1,000 </t>
  </si>
  <si>
    <t>Liability Insur. ($1 million coverage)</t>
  </si>
  <si>
    <t>Total Capital Costs</t>
  </si>
  <si>
    <t>Capital Costs per Head</t>
  </si>
  <si>
    <t>Average Capital Costs (Purchase - Salvage Value)/2</t>
  </si>
  <si>
    <t>Average Capital Costs per Head</t>
  </si>
  <si>
    <t>Total Capital Recovery Costs</t>
  </si>
  <si>
    <t>Capital Recovery Costs per Head</t>
  </si>
  <si>
    <t>Calf pens</t>
  </si>
  <si>
    <t>pen</t>
  </si>
  <si>
    <t>Hutches, wooden (3 calves/pen)</t>
  </si>
  <si>
    <t>Bedding</t>
  </si>
  <si>
    <t>Labor</t>
  </si>
  <si>
    <t>Topdress mix (60% barley, 20% each</t>
  </si>
  <si>
    <t xml:space="preserve"> canola and distillers dried grain)</t>
  </si>
  <si>
    <t>Price/</t>
  </si>
  <si>
    <t>per head</t>
  </si>
  <si>
    <t>per dairy</t>
  </si>
  <si>
    <t>Net Returns Above Variable Costs</t>
  </si>
  <si>
    <t>Total feeding costs</t>
  </si>
  <si>
    <t>Interest on Operating Costs</t>
  </si>
  <si>
    <t>Calf starter (protein pellets)</t>
  </si>
  <si>
    <t>Antibiotic (bovitec with tetracycline)</t>
  </si>
  <si>
    <t>Commodity shed, 5 bays</t>
  </si>
  <si>
    <t>Semi, with feedbox mixer &amp; scale, used</t>
  </si>
  <si>
    <t>Loader, used</t>
  </si>
  <si>
    <t>Group pens, windbreaks</t>
  </si>
  <si>
    <t>.</t>
  </si>
  <si>
    <t xml:space="preserve"> </t>
  </si>
  <si>
    <t>Cannery silage</t>
  </si>
  <si>
    <t>Months 14-15 (breeding age)</t>
  </si>
  <si>
    <t>Silage (half corn, half cannery)</t>
  </si>
  <si>
    <t>Cannery Silage</t>
  </si>
  <si>
    <t>Heifer mineral</t>
  </si>
  <si>
    <t>average cost per day</t>
  </si>
  <si>
    <t>Average:</t>
  </si>
  <si>
    <t>Baby calves (through 4 months old)</t>
  </si>
  <si>
    <t>hr</t>
  </si>
  <si>
    <t>Materials</t>
  </si>
  <si>
    <t>Per Hutch</t>
  </si>
  <si>
    <t>Costs for constructing wood calf hutches (for 3 calves)</t>
  </si>
  <si>
    <t>sheets</t>
  </si>
  <si>
    <t>Plywood, 1/2" exterior grade</t>
  </si>
  <si>
    <t>2" x 4", 8' length</t>
  </si>
  <si>
    <t>boards</t>
  </si>
  <si>
    <t>Hinges</t>
  </si>
  <si>
    <t>sets</t>
  </si>
  <si>
    <t>Wood screws</t>
  </si>
  <si>
    <t>Total</t>
  </si>
  <si>
    <t>Labor, initial construction</t>
  </si>
  <si>
    <t xml:space="preserve">Repair, annual </t>
  </si>
  <si>
    <t>Bulk feeders (creep feeders)</t>
  </si>
  <si>
    <t>Machinery:</t>
  </si>
  <si>
    <t>Heifer calves (5 - 12 months old)</t>
  </si>
  <si>
    <t>One year old to approximately 22.5 months (310 days)</t>
  </si>
  <si>
    <t>Month 13</t>
  </si>
  <si>
    <t>Heifer calves (13 - 21.5 months old)</t>
  </si>
  <si>
    <t>Death and cull loss</t>
  </si>
  <si>
    <t>Push-out (percent fed)</t>
  </si>
  <si>
    <t>per head per day</t>
  </si>
  <si>
    <t>Income</t>
  </si>
  <si>
    <t>Feed</t>
  </si>
  <si>
    <t>Misc.</t>
  </si>
  <si>
    <t>Veterinary</t>
  </si>
  <si>
    <t>Operating Costs</t>
  </si>
  <si>
    <t>Summary of Costs and Returns for Raising Replacement Dairy Heifers, 400-animal operation ($/head)</t>
  </si>
  <si>
    <t>per head per year</t>
  </si>
  <si>
    <t>per dairy per year</t>
  </si>
  <si>
    <t>http://web.cals.uidaho.edu/idahoagbiz/enterprise-budgets/</t>
  </si>
  <si>
    <t>http://tinyurl.com/Idbudgets</t>
  </si>
  <si>
    <t>in Southwest Idaho, 400-head Facility, Baby Calves to Springers (680 days)</t>
  </si>
  <si>
    <t>Months 7-12</t>
  </si>
  <si>
    <t xml:space="preserve">Year 1 </t>
  </si>
  <si>
    <t xml:space="preserve">Year 2 </t>
  </si>
  <si>
    <t>Variable Costs</t>
  </si>
  <si>
    <t>Returns over Variable Costs</t>
  </si>
  <si>
    <t>Fixed Cost</t>
  </si>
  <si>
    <t>Total Cost</t>
  </si>
  <si>
    <t>Returns over Total Costs</t>
  </si>
  <si>
    <t>$/head</t>
  </si>
  <si>
    <t>Note: Year one costs are added to year two costs, plus interest, so year two's returns represent returns for the full 680-day cycle.</t>
  </si>
  <si>
    <t>Year 1 Total Costs plus interest</t>
  </si>
  <si>
    <t>Enterprise Budget for Raising Holstein Replacement Heifers in Southern Idaho, 400-head facility, Year One: Day old to 12 months (365 days)</t>
  </si>
  <si>
    <t>Enterprise Budget for Raising Holstein Replacement Heifers in Southern Idaho, 400-head facility</t>
  </si>
  <si>
    <t>Capital Costs  for  Raising Holstein Replacement Heifers in Southern Idaho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</si>
</sst>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000"/>
    <numFmt numFmtId="168" formatCode="0.0%"/>
  </numFmts>
  <fonts count="5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6"/>
      <name val="Cambria"/>
      <family val="2"/>
      <scheme val="major"/>
    </font>
    <font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3300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indexed="81"/>
      <name val="Calibri"/>
      <family val="2"/>
    </font>
    <font>
      <b/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56">
    <xf numFmtId="0" fontId="0" fillId="0" borderId="0"/>
    <xf numFmtId="43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165" fontId="0" fillId="3" borderId="0" xfId="0" applyNumberFormat="1" applyFill="1" applyBorder="1" applyProtection="1"/>
    <xf numFmtId="0" fontId="0" fillId="4" borderId="0" xfId="0" applyFill="1" applyBorder="1"/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165" fontId="0" fillId="2" borderId="0" xfId="0" applyNumberFormat="1" applyFont="1" applyFill="1"/>
    <xf numFmtId="0" fontId="0" fillId="4" borderId="0" xfId="0" applyFont="1" applyFill="1"/>
    <xf numFmtId="0" fontId="0" fillId="0" borderId="0" xfId="0" applyFont="1" applyAlignment="1" applyProtection="1">
      <alignment horizontal="center" vertical="center"/>
      <protection locked="0"/>
    </xf>
    <xf numFmtId="165" fontId="0" fillId="3" borderId="0" xfId="0" applyNumberFormat="1" applyFont="1" applyFill="1" applyProtection="1"/>
    <xf numFmtId="0" fontId="10" fillId="2" borderId="0" xfId="0" applyFont="1" applyFill="1" applyBorder="1"/>
    <xf numFmtId="0" fontId="14" fillId="2" borderId="0" xfId="0" applyFont="1" applyFill="1"/>
    <xf numFmtId="165" fontId="0" fillId="3" borderId="0" xfId="0" applyNumberFormat="1" applyFont="1" applyFill="1"/>
    <xf numFmtId="0" fontId="16" fillId="6" borderId="4" xfId="0" applyFont="1" applyFill="1" applyBorder="1"/>
    <xf numFmtId="0" fontId="15" fillId="6" borderId="4" xfId="0" applyFont="1" applyFill="1" applyBorder="1"/>
    <xf numFmtId="0" fontId="15" fillId="6" borderId="4" xfId="0" applyFont="1" applyFill="1" applyBorder="1" applyAlignment="1">
      <alignment horizontal="center" vertical="center"/>
    </xf>
    <xf numFmtId="166" fontId="16" fillId="6" borderId="4" xfId="0" applyNumberFormat="1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5" fillId="0" borderId="0" xfId="0" applyFont="1"/>
    <xf numFmtId="0" fontId="0" fillId="6" borderId="0" xfId="0" applyFill="1"/>
    <xf numFmtId="0" fontId="23" fillId="6" borderId="0" xfId="166" applyFont="1" applyFill="1"/>
    <xf numFmtId="0" fontId="24" fillId="6" borderId="0" xfId="166" applyFont="1" applyFill="1" applyAlignment="1">
      <alignment horizontal="center"/>
    </xf>
    <xf numFmtId="0" fontId="25" fillId="7" borderId="0" xfId="167" applyFont="1" applyFill="1"/>
    <xf numFmtId="0" fontId="25" fillId="7" borderId="0" xfId="167" applyFont="1" applyFill="1" applyAlignment="1">
      <alignment horizontal="center"/>
    </xf>
    <xf numFmtId="0" fontId="25" fillId="6" borderId="0" xfId="167" applyFill="1"/>
    <xf numFmtId="0" fontId="0" fillId="7" borderId="0" xfId="0" applyFill="1"/>
    <xf numFmtId="165" fontId="31" fillId="0" borderId="0" xfId="0" applyNumberFormat="1" applyFont="1" applyFill="1" applyAlignment="1">
      <alignment horizontal="center"/>
    </xf>
    <xf numFmtId="0" fontId="30" fillId="7" borderId="0" xfId="0" applyFont="1" applyFill="1"/>
    <xf numFmtId="10" fontId="31" fillId="0" borderId="0" xfId="165" applyNumberFormat="1" applyFont="1" applyFill="1" applyBorder="1" applyAlignment="1">
      <alignment horizontal="center"/>
    </xf>
    <xf numFmtId="0" fontId="9" fillId="6" borderId="0" xfId="0" applyFont="1" applyFill="1"/>
    <xf numFmtId="166" fontId="9" fillId="6" borderId="0" xfId="0" applyNumberFormat="1" applyFont="1" applyFill="1" applyBorder="1" applyAlignment="1">
      <alignment horizontal="center"/>
    </xf>
    <xf numFmtId="0" fontId="9" fillId="0" borderId="0" xfId="0" applyFont="1"/>
    <xf numFmtId="0" fontId="30" fillId="6" borderId="0" xfId="0" applyFont="1" applyFill="1"/>
    <xf numFmtId="0" fontId="0" fillId="7" borderId="0" xfId="0" applyFill="1" applyAlignment="1">
      <alignment horizontal="center"/>
    </xf>
    <xf numFmtId="0" fontId="30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/>
    <xf numFmtId="0" fontId="36" fillId="0" borderId="1" xfId="2" applyFont="1" applyAlignment="1" applyProtection="1">
      <alignment horizontal="left" wrapText="1"/>
      <protection locked="0"/>
    </xf>
    <xf numFmtId="0" fontId="37" fillId="2" borderId="4" xfId="0" applyFont="1" applyFill="1" applyBorder="1"/>
    <xf numFmtId="0" fontId="37" fillId="2" borderId="4" xfId="0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0" borderId="0" xfId="0" applyFont="1"/>
    <xf numFmtId="0" fontId="37" fillId="2" borderId="0" xfId="0" applyFont="1" applyFill="1" applyBorder="1" applyAlignment="1">
      <alignment horizontal="center"/>
    </xf>
    <xf numFmtId="0" fontId="37" fillId="2" borderId="0" xfId="0" applyFont="1" applyFill="1" applyBorder="1"/>
    <xf numFmtId="0" fontId="37" fillId="2" borderId="0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/>
    </xf>
    <xf numFmtId="0" fontId="3" fillId="4" borderId="0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3" fillId="4" borderId="3" xfId="0" applyFont="1" applyFill="1" applyBorder="1"/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/>
    <xf numFmtId="0" fontId="0" fillId="2" borderId="0" xfId="0" applyFont="1" applyFill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12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165" fontId="13" fillId="0" borderId="0" xfId="0" applyNumberFormat="1" applyFont="1" applyProtection="1">
      <protection locked="0"/>
    </xf>
    <xf numFmtId="0" fontId="0" fillId="5" borderId="0" xfId="0" applyFont="1" applyFill="1" applyAlignment="1">
      <alignment horizontal="center"/>
    </xf>
    <xf numFmtId="0" fontId="0" fillId="6" borderId="0" xfId="0" applyFont="1" applyFill="1"/>
    <xf numFmtId="164" fontId="2" fillId="6" borderId="0" xfId="1" applyNumberFormat="1" applyFont="1" applyFill="1"/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/>
    </xf>
    <xf numFmtId="166" fontId="0" fillId="6" borderId="0" xfId="0" applyNumberFormat="1" applyFont="1" applyFill="1" applyAlignment="1">
      <alignment horizontal="center"/>
    </xf>
    <xf numFmtId="10" fontId="2" fillId="6" borderId="0" xfId="165" applyNumberFormat="1" applyFont="1" applyFill="1" applyAlignment="1">
      <alignment horizontal="center"/>
    </xf>
    <xf numFmtId="167" fontId="0" fillId="6" borderId="0" xfId="0" applyNumberFormat="1" applyFont="1" applyFill="1"/>
    <xf numFmtId="0" fontId="0" fillId="6" borderId="0" xfId="0" applyFont="1" applyFill="1" applyAlignment="1">
      <alignment horizontal="right" inden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/>
    </xf>
    <xf numFmtId="166" fontId="0" fillId="6" borderId="0" xfId="0" applyNumberFormat="1" applyFill="1" applyAlignment="1">
      <alignment horizontal="center"/>
    </xf>
    <xf numFmtId="167" fontId="0" fillId="6" borderId="0" xfId="0" applyNumberFormat="1" applyFill="1"/>
    <xf numFmtId="0" fontId="0" fillId="6" borderId="0" xfId="0" applyFill="1" applyAlignment="1">
      <alignment horizontal="right" indent="1"/>
    </xf>
    <xf numFmtId="164" fontId="2" fillId="0" borderId="0" xfId="1" applyNumberFormat="1" applyFont="1"/>
    <xf numFmtId="166" fontId="0" fillId="0" borderId="0" xfId="0" applyNumberFormat="1" applyAlignment="1">
      <alignment horizontal="center"/>
    </xf>
    <xf numFmtId="10" fontId="2" fillId="0" borderId="0" xfId="165" applyNumberFormat="1" applyFont="1" applyAlignment="1">
      <alignment horizontal="center"/>
    </xf>
    <xf numFmtId="167" fontId="0" fillId="0" borderId="0" xfId="0" applyNumberFormat="1"/>
    <xf numFmtId="0" fontId="0" fillId="0" borderId="0" xfId="0" applyAlignment="1">
      <alignment horizontal="right" indent="1"/>
    </xf>
    <xf numFmtId="165" fontId="41" fillId="0" borderId="0" xfId="0" applyNumberFormat="1" applyFont="1" applyFill="1" applyAlignment="1">
      <alignment horizontal="center"/>
    </xf>
    <xf numFmtId="0" fontId="43" fillId="6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0" fillId="0" borderId="0" xfId="0" applyNumberFormat="1"/>
    <xf numFmtId="164" fontId="0" fillId="6" borderId="0" xfId="1" applyNumberFormat="1" applyFont="1" applyFill="1"/>
    <xf numFmtId="0" fontId="5" fillId="6" borderId="0" xfId="3" applyFill="1" applyAlignment="1">
      <alignment horizontal="right"/>
    </xf>
    <xf numFmtId="0" fontId="8" fillId="6" borderId="2" xfId="0" applyFont="1" applyFill="1" applyBorder="1"/>
    <xf numFmtId="0" fontId="5" fillId="6" borderId="0" xfId="3" applyFill="1" applyAlignment="1">
      <alignment horizontal="left"/>
    </xf>
    <xf numFmtId="0" fontId="0" fillId="6" borderId="0" xfId="0" applyFill="1" applyBorder="1"/>
    <xf numFmtId="0" fontId="0" fillId="6" borderId="3" xfId="0" applyFill="1" applyBorder="1"/>
    <xf numFmtId="0" fontId="45" fillId="6" borderId="0" xfId="4" applyFont="1" applyFill="1"/>
    <xf numFmtId="0" fontId="46" fillId="0" borderId="0" xfId="0" applyFont="1"/>
    <xf numFmtId="1" fontId="0" fillId="0" borderId="0" xfId="0" applyNumberFormat="1" applyFont="1" applyAlignment="1" applyProtection="1">
      <alignment horizontal="center"/>
      <protection locked="0"/>
    </xf>
    <xf numFmtId="9" fontId="0" fillId="0" borderId="0" xfId="165" applyFont="1"/>
    <xf numFmtId="165" fontId="35" fillId="3" borderId="0" xfId="0" applyNumberFormat="1" applyFont="1" applyFill="1" applyAlignment="1">
      <alignment horizontal="right"/>
    </xf>
    <xf numFmtId="0" fontId="5" fillId="6" borderId="0" xfId="3" applyFill="1" applyAlignment="1">
      <alignment horizontal="center"/>
    </xf>
    <xf numFmtId="165" fontId="0" fillId="0" borderId="0" xfId="0" applyNumberFormat="1" applyFill="1"/>
    <xf numFmtId="0" fontId="5" fillId="6" borderId="0" xfId="3" applyFill="1" applyAlignment="1">
      <alignment horizontal="center"/>
    </xf>
    <xf numFmtId="0" fontId="27" fillId="0" borderId="0" xfId="168" applyAlignment="1" applyProtection="1">
      <alignment horizontal="center"/>
    </xf>
    <xf numFmtId="165" fontId="42" fillId="0" borderId="0" xfId="0" applyNumberFormat="1" applyFont="1" applyFill="1" applyAlignment="1" applyProtection="1">
      <alignment horizontal="center"/>
      <protection locked="0"/>
    </xf>
    <xf numFmtId="10" fontId="0" fillId="0" borderId="0" xfId="165" applyNumberFormat="1" applyFont="1"/>
    <xf numFmtId="166" fontId="9" fillId="0" borderId="2" xfId="0" applyNumberFormat="1" applyFont="1" applyFill="1" applyBorder="1" applyAlignment="1">
      <alignment horizontal="left"/>
    </xf>
    <xf numFmtId="166" fontId="9" fillId="0" borderId="2" xfId="0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right" indent="1"/>
    </xf>
    <xf numFmtId="166" fontId="9" fillId="0" borderId="8" xfId="0" applyNumberFormat="1" applyFont="1" applyFill="1" applyBorder="1" applyAlignment="1">
      <alignment horizontal="left"/>
    </xf>
    <xf numFmtId="166" fontId="9" fillId="0" borderId="8" xfId="0" applyNumberFormat="1" applyFont="1" applyFill="1" applyBorder="1" applyAlignment="1">
      <alignment horizontal="center"/>
    </xf>
    <xf numFmtId="166" fontId="9" fillId="0" borderId="8" xfId="0" applyNumberFormat="1" applyFont="1" applyFill="1" applyBorder="1" applyAlignment="1">
      <alignment horizontal="right" indent="1"/>
    </xf>
    <xf numFmtId="1" fontId="51" fillId="8" borderId="9" xfId="0" applyNumberFormat="1" applyFont="1" applyFill="1" applyBorder="1" applyAlignment="1">
      <alignment horizontal="center"/>
    </xf>
    <xf numFmtId="1" fontId="51" fillId="8" borderId="4" xfId="0" applyNumberFormat="1" applyFont="1" applyFill="1" applyBorder="1" applyAlignment="1">
      <alignment horizontal="center"/>
    </xf>
    <xf numFmtId="1" fontId="51" fillId="8" borderId="7" xfId="0" applyNumberFormat="1" applyFont="1" applyFill="1" applyBorder="1" applyAlignment="1">
      <alignment horizontal="center"/>
    </xf>
    <xf numFmtId="1" fontId="51" fillId="8" borderId="6" xfId="0" applyNumberFormat="1" applyFont="1" applyFill="1" applyBorder="1" applyAlignment="1">
      <alignment horizontal="center"/>
    </xf>
    <xf numFmtId="1" fontId="51" fillId="8" borderId="3" xfId="0" applyNumberFormat="1" applyFont="1" applyFill="1" applyBorder="1" applyAlignment="1">
      <alignment horizontal="center"/>
    </xf>
    <xf numFmtId="1" fontId="52" fillId="8" borderId="3" xfId="0" applyNumberFormat="1" applyFont="1" applyFill="1" applyBorder="1" applyAlignment="1">
      <alignment horizontal="center"/>
    </xf>
    <xf numFmtId="1" fontId="52" fillId="8" borderId="10" xfId="0" applyNumberFormat="1" applyFont="1" applyFill="1" applyBorder="1" applyAlignment="1">
      <alignment horizontal="center"/>
    </xf>
    <xf numFmtId="1" fontId="51" fillId="8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Protection="1"/>
    <xf numFmtId="165" fontId="0" fillId="0" borderId="0" xfId="0" applyNumberFormat="1" applyFill="1" applyBorder="1" applyProtection="1"/>
    <xf numFmtId="0" fontId="40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65" fontId="11" fillId="0" borderId="0" xfId="0" applyNumberFormat="1" applyFont="1" applyFill="1" applyAlignment="1" applyProtection="1">
      <alignment horizontal="left"/>
    </xf>
    <xf numFmtId="166" fontId="35" fillId="0" borderId="0" xfId="0" applyNumberFormat="1" applyFont="1" applyFill="1" applyAlignment="1" applyProtection="1">
      <alignment horizontal="left"/>
    </xf>
    <xf numFmtId="0" fontId="35" fillId="0" borderId="0" xfId="0" applyFont="1" applyFill="1"/>
    <xf numFmtId="166" fontId="35" fillId="0" borderId="0" xfId="0" applyNumberFormat="1" applyFont="1" applyFill="1" applyAlignment="1" applyProtection="1">
      <alignment horizontal="right"/>
    </xf>
    <xf numFmtId="0" fontId="37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2" fontId="0" fillId="0" borderId="0" xfId="0" applyNumberFormat="1" applyFont="1" applyFill="1" applyAlignment="1" applyProtection="1">
      <alignment horizontal="right" inden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65" fontId="0" fillId="0" borderId="0" xfId="0" applyNumberFormat="1" applyFont="1" applyFill="1" applyAlignment="1" applyProtection="1"/>
    <xf numFmtId="165" fontId="0" fillId="0" borderId="0" xfId="0" applyNumberFormat="1" applyFont="1" applyFill="1" applyAlignment="1" applyProtection="1">
      <alignment horizontal="right" indent="2"/>
    </xf>
    <xf numFmtId="165" fontId="0" fillId="0" borderId="0" xfId="0" applyNumberFormat="1" applyFont="1" applyFill="1"/>
    <xf numFmtId="0" fontId="40" fillId="0" borderId="0" xfId="0" applyFont="1" applyFill="1" applyBorder="1"/>
    <xf numFmtId="0" fontId="37" fillId="0" borderId="0" xfId="0" applyFont="1" applyFill="1" applyBorder="1"/>
    <xf numFmtId="0" fontId="34" fillId="0" borderId="0" xfId="0" applyFont="1" applyFill="1"/>
    <xf numFmtId="0" fontId="34" fillId="0" borderId="0" xfId="0" applyFont="1" applyFill="1" applyAlignment="1">
      <alignment horizontal="center" vertical="center"/>
    </xf>
    <xf numFmtId="0" fontId="44" fillId="0" borderId="0" xfId="0" applyFont="1" applyFill="1"/>
    <xf numFmtId="0" fontId="11" fillId="0" borderId="0" xfId="0" applyFont="1" applyFill="1"/>
    <xf numFmtId="165" fontId="35" fillId="0" borderId="0" xfId="0" applyNumberFormat="1" applyFont="1" applyFill="1" applyAlignment="1" applyProtection="1">
      <alignment horizontal="left"/>
    </xf>
    <xf numFmtId="2" fontId="0" fillId="0" borderId="0" xfId="0" applyNumberFormat="1" applyFont="1" applyFill="1"/>
    <xf numFmtId="165" fontId="35" fillId="0" borderId="0" xfId="0" applyNumberFormat="1" applyFont="1" applyFill="1" applyAlignment="1">
      <alignment horizontal="left"/>
    </xf>
    <xf numFmtId="0" fontId="35" fillId="0" borderId="0" xfId="0" applyFont="1" applyFill="1" applyAlignment="1">
      <alignment horizontal="left"/>
    </xf>
    <xf numFmtId="166" fontId="0" fillId="0" borderId="0" xfId="0" applyNumberFormat="1" applyFont="1" applyFill="1" applyAlignment="1" applyProtection="1">
      <alignment horizontal="right"/>
    </xf>
    <xf numFmtId="166" fontId="0" fillId="0" borderId="0" xfId="0" applyNumberFormat="1" applyFont="1" applyFill="1" applyAlignment="1" applyProtection="1">
      <alignment horizontal="right" indent="1"/>
    </xf>
    <xf numFmtId="9" fontId="6" fillId="0" borderId="0" xfId="165" applyFont="1" applyFill="1" applyAlignment="1" applyProtection="1">
      <alignment horizontal="right" indent="1"/>
      <protection locked="0"/>
    </xf>
    <xf numFmtId="9" fontId="0" fillId="0" borderId="0" xfId="165" applyFont="1" applyFill="1" applyAlignment="1" applyProtection="1">
      <alignment horizontal="center" vertical="center"/>
      <protection locked="0"/>
    </xf>
    <xf numFmtId="2" fontId="42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/>
    <xf numFmtId="0" fontId="6" fillId="0" borderId="0" xfId="0" applyFont="1" applyFill="1"/>
    <xf numFmtId="165" fontId="48" fillId="0" borderId="0" xfId="0" applyNumberFormat="1" applyFont="1" applyFill="1" applyAlignment="1">
      <alignment horizontal="left"/>
    </xf>
    <xf numFmtId="0" fontId="48" fillId="0" borderId="0" xfId="0" applyFont="1" applyFill="1" applyAlignment="1">
      <alignment horizontal="left"/>
    </xf>
    <xf numFmtId="165" fontId="48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>
      <alignment horizontal="left"/>
    </xf>
    <xf numFmtId="166" fontId="35" fillId="0" borderId="0" xfId="0" applyNumberFormat="1" applyFont="1" applyFill="1" applyAlignment="1">
      <alignment horizontal="left"/>
    </xf>
    <xf numFmtId="0" fontId="46" fillId="0" borderId="0" xfId="0" applyFont="1" applyFill="1" applyProtection="1">
      <protection locked="0"/>
    </xf>
    <xf numFmtId="0" fontId="46" fillId="0" borderId="0" xfId="0" applyFont="1" applyFill="1"/>
    <xf numFmtId="0" fontId="46" fillId="0" borderId="0" xfId="0" applyFont="1" applyFill="1" applyAlignment="1" applyProtection="1">
      <alignment horizontal="center" vertical="center"/>
      <protection locked="0"/>
    </xf>
    <xf numFmtId="9" fontId="42" fillId="0" borderId="0" xfId="165" applyFont="1" applyFill="1" applyAlignment="1" applyProtection="1">
      <alignment horizontal="center"/>
      <protection locked="0"/>
    </xf>
    <xf numFmtId="165" fontId="46" fillId="0" borderId="0" xfId="0" applyNumberFormat="1" applyFont="1" applyFill="1"/>
    <xf numFmtId="0" fontId="44" fillId="0" borderId="3" xfId="0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horizontal="center" vertical="center"/>
    </xf>
    <xf numFmtId="165" fontId="0" fillId="0" borderId="3" xfId="0" applyNumberFormat="1" applyFont="1" applyFill="1" applyBorder="1"/>
    <xf numFmtId="165" fontId="0" fillId="0" borderId="3" xfId="0" applyNumberFormat="1" applyFont="1" applyFill="1" applyBorder="1" applyProtection="1"/>
    <xf numFmtId="0" fontId="44" fillId="0" borderId="0" xfId="0" applyFont="1" applyFill="1" applyBorder="1"/>
    <xf numFmtId="165" fontId="0" fillId="0" borderId="0" xfId="0" applyNumberFormat="1" applyFont="1" applyFill="1" applyAlignment="1" applyProtection="1">
      <alignment horizontal="right" indent="1"/>
    </xf>
    <xf numFmtId="165" fontId="11" fillId="0" borderId="0" xfId="0" applyNumberFormat="1" applyFont="1" applyFill="1" applyProtection="1"/>
    <xf numFmtId="2" fontId="0" fillId="0" borderId="0" xfId="0" applyNumberFormat="1" applyFill="1" applyAlignment="1" applyProtection="1">
      <alignment horizontal="right" inden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68" fontId="42" fillId="0" borderId="0" xfId="165" applyNumberFormat="1" applyFont="1" applyFill="1" applyAlignment="1" applyProtection="1">
      <alignment horizontal="center"/>
      <protection locked="0"/>
    </xf>
    <xf numFmtId="165" fontId="11" fillId="0" borderId="0" xfId="0" applyNumberFormat="1" applyFont="1" applyFill="1"/>
    <xf numFmtId="165" fontId="16" fillId="0" borderId="3" xfId="0" applyNumberFormat="1" applyFont="1" applyFill="1" applyBorder="1"/>
    <xf numFmtId="0" fontId="16" fillId="0" borderId="3" xfId="0" applyFont="1" applyFill="1" applyBorder="1"/>
    <xf numFmtId="10" fontId="6" fillId="0" borderId="0" xfId="243" applyNumberFormat="1" applyFont="1" applyFill="1" applyAlignment="1" applyProtection="1">
      <alignment horizontal="right" indent="1"/>
      <protection locked="0"/>
    </xf>
    <xf numFmtId="166" fontId="11" fillId="0" borderId="0" xfId="0" applyNumberFormat="1" applyFont="1" applyFill="1" applyAlignment="1" applyProtection="1">
      <alignment horizontal="left"/>
    </xf>
    <xf numFmtId="166" fontId="0" fillId="0" borderId="3" xfId="0" applyNumberFormat="1" applyFont="1" applyFill="1" applyBorder="1" applyProtection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166" fontId="0" fillId="0" borderId="0" xfId="0" applyNumberFormat="1" applyFill="1"/>
    <xf numFmtId="0" fontId="10" fillId="0" borderId="0" xfId="0" applyFont="1" applyFill="1" applyBorder="1"/>
    <xf numFmtId="0" fontId="0" fillId="0" borderId="0" xfId="0" applyFont="1" applyFill="1" applyAlignment="1">
      <alignment horizontal="center"/>
    </xf>
    <xf numFmtId="166" fontId="0" fillId="0" borderId="0" xfId="0" applyNumberFormat="1" applyFont="1" applyFill="1"/>
    <xf numFmtId="10" fontId="2" fillId="0" borderId="0" xfId="165" applyNumberFormat="1" applyFont="1" applyFill="1" applyAlignment="1">
      <alignment horizontal="center"/>
    </xf>
    <xf numFmtId="167" fontId="0" fillId="0" borderId="0" xfId="0" applyNumberFormat="1" applyFont="1" applyFill="1"/>
    <xf numFmtId="0" fontId="0" fillId="0" borderId="0" xfId="0" applyFont="1" applyFill="1" applyAlignment="1">
      <alignment horizontal="right" indent="1"/>
    </xf>
    <xf numFmtId="0" fontId="14" fillId="0" borderId="0" xfId="0" applyFont="1" applyFill="1"/>
    <xf numFmtId="166" fontId="0" fillId="0" borderId="0" xfId="0" applyNumberFormat="1" applyFont="1" applyFill="1" applyAlignment="1" applyProtection="1">
      <alignment horizontal="left"/>
    </xf>
    <xf numFmtId="6" fontId="0" fillId="0" borderId="0" xfId="0" applyNumberFormat="1" applyFont="1" applyFill="1" applyAlignment="1">
      <alignment horizontal="right" indent="1"/>
    </xf>
    <xf numFmtId="0" fontId="0" fillId="0" borderId="0" xfId="0" applyFont="1" applyFill="1" applyAlignment="1" applyProtection="1">
      <alignment horizontal="center"/>
      <protection locked="0"/>
    </xf>
    <xf numFmtId="166" fontId="13" fillId="0" borderId="0" xfId="0" applyNumberFormat="1" applyFont="1" applyFill="1" applyProtection="1">
      <protection locked="0"/>
    </xf>
    <xf numFmtId="166" fontId="0" fillId="0" borderId="0" xfId="0" applyNumberFormat="1" applyFont="1" applyFill="1" applyProtection="1"/>
    <xf numFmtId="166" fontId="0" fillId="0" borderId="0" xfId="0" applyNumberFormat="1" applyFont="1" applyFill="1" applyAlignment="1">
      <alignment horizontal="right" indent="1"/>
    </xf>
    <xf numFmtId="166" fontId="0" fillId="0" borderId="0" xfId="0" applyNumberFormat="1" applyFont="1" applyFill="1" applyAlignment="1">
      <alignment horizontal="left"/>
    </xf>
    <xf numFmtId="167" fontId="38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 applyProtection="1">
      <alignment horizontal="center"/>
      <protection locked="0"/>
    </xf>
    <xf numFmtId="167" fontId="39" fillId="0" borderId="0" xfId="0" applyNumberFormat="1" applyFont="1" applyFill="1" applyAlignment="1">
      <alignment horizontal="right"/>
    </xf>
    <xf numFmtId="165" fontId="11" fillId="0" borderId="0" xfId="0" applyNumberFormat="1" applyFont="1" applyFill="1" applyAlignment="1">
      <alignment horizontal="right" indent="1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left" vertical="center"/>
    </xf>
    <xf numFmtId="167" fontId="0" fillId="0" borderId="0" xfId="0" applyNumberFormat="1" applyFont="1" applyFill="1" applyAlignment="1">
      <alignment horizontal="right"/>
    </xf>
    <xf numFmtId="0" fontId="14" fillId="0" borderId="0" xfId="0" applyFont="1" applyFill="1" applyProtection="1">
      <protection locked="0"/>
    </xf>
    <xf numFmtId="164" fontId="2" fillId="0" borderId="0" xfId="1" applyNumberFormat="1" applyFont="1" applyFill="1" applyAlignment="1" applyProtection="1">
      <alignment horizontal="center"/>
      <protection locked="0"/>
    </xf>
    <xf numFmtId="165" fontId="13" fillId="0" borderId="0" xfId="0" applyNumberFormat="1" applyFont="1" applyFill="1" applyProtection="1">
      <protection locked="0"/>
    </xf>
    <xf numFmtId="1" fontId="2" fillId="0" borderId="0" xfId="1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right"/>
    </xf>
    <xf numFmtId="1" fontId="0" fillId="0" borderId="0" xfId="0" applyNumberFormat="1" applyFont="1" applyFill="1" applyAlignment="1">
      <alignment horizontal="center"/>
    </xf>
    <xf numFmtId="166" fontId="0" fillId="0" borderId="0" xfId="0" applyNumberFormat="1" applyFont="1" applyFill="1" applyAlignment="1">
      <alignment horizontal="right"/>
    </xf>
    <xf numFmtId="43" fontId="2" fillId="0" borderId="0" xfId="1" applyFont="1" applyFill="1"/>
    <xf numFmtId="166" fontId="2" fillId="0" borderId="0" xfId="1" applyNumberFormat="1" applyFont="1" applyFill="1"/>
    <xf numFmtId="166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Protection="1">
      <protection locked="0"/>
    </xf>
    <xf numFmtId="0" fontId="0" fillId="0" borderId="0" xfId="0" applyFont="1" applyFill="1" applyBorder="1"/>
    <xf numFmtId="166" fontId="0" fillId="0" borderId="0" xfId="0" applyNumberFormat="1" applyFont="1" applyFill="1" applyBorder="1"/>
    <xf numFmtId="10" fontId="2" fillId="0" borderId="0" xfId="165" applyNumberFormat="1" applyFont="1" applyFill="1" applyBorder="1" applyAlignment="1">
      <alignment horizontal="center"/>
    </xf>
    <xf numFmtId="167" fontId="0" fillId="0" borderId="0" xfId="0" applyNumberFormat="1" applyFont="1" applyFill="1" applyBorder="1"/>
    <xf numFmtId="0" fontId="0" fillId="0" borderId="3" xfId="0" applyFont="1" applyFill="1" applyBorder="1" applyAlignment="1">
      <alignment horizontal="center"/>
    </xf>
    <xf numFmtId="166" fontId="0" fillId="0" borderId="3" xfId="0" applyNumberFormat="1" applyFont="1" applyFill="1" applyBorder="1"/>
    <xf numFmtId="10" fontId="2" fillId="0" borderId="3" xfId="165" applyNumberFormat="1" applyFont="1" applyFill="1" applyBorder="1" applyAlignment="1">
      <alignment horizontal="center"/>
    </xf>
    <xf numFmtId="167" fontId="0" fillId="0" borderId="3" xfId="0" applyNumberFormat="1" applyFont="1" applyFill="1" applyBorder="1"/>
    <xf numFmtId="0" fontId="0" fillId="0" borderId="3" xfId="0" applyFont="1" applyFill="1" applyBorder="1" applyAlignment="1">
      <alignment horizontal="right" indent="1"/>
    </xf>
    <xf numFmtId="0" fontId="29" fillId="0" borderId="5" xfId="0" applyFont="1" applyFill="1" applyBorder="1"/>
    <xf numFmtId="0" fontId="30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5" xfId="0" applyFont="1" applyFill="1" applyBorder="1"/>
    <xf numFmtId="165" fontId="30" fillId="0" borderId="0" xfId="0" applyNumberFormat="1" applyFont="1" applyFill="1" applyBorder="1" applyAlignment="1">
      <alignment horizontal="center"/>
    </xf>
    <xf numFmtId="0" fontId="30" fillId="0" borderId="6" xfId="0" applyFont="1" applyFill="1" applyBorder="1"/>
    <xf numFmtId="10" fontId="30" fillId="0" borderId="3" xfId="0" applyNumberFormat="1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165" fontId="30" fillId="0" borderId="3" xfId="0" applyNumberFormat="1" applyFont="1" applyFill="1" applyBorder="1" applyAlignment="1">
      <alignment horizontal="center"/>
    </xf>
    <xf numFmtId="1" fontId="51" fillId="8" borderId="10" xfId="0" applyNumberFormat="1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165" fontId="31" fillId="0" borderId="0" xfId="0" applyNumberFormat="1" applyFont="1" applyFill="1" applyBorder="1" applyAlignment="1">
      <alignment horizontal="center"/>
    </xf>
    <xf numFmtId="165" fontId="30" fillId="0" borderId="11" xfId="0" applyNumberFormat="1" applyFont="1" applyFill="1" applyBorder="1" applyAlignment="1">
      <alignment horizontal="center"/>
    </xf>
    <xf numFmtId="165" fontId="30" fillId="0" borderId="10" xfId="0" applyNumberFormat="1" applyFont="1" applyFill="1" applyBorder="1" applyAlignment="1">
      <alignment horizontal="center"/>
    </xf>
    <xf numFmtId="0" fontId="25" fillId="6" borderId="0" xfId="167" applyFont="1" applyFill="1" applyAlignment="1">
      <alignment horizontal="center"/>
    </xf>
    <xf numFmtId="0" fontId="25" fillId="0" borderId="0" xfId="167" applyAlignment="1">
      <alignment horizontal="center"/>
    </xf>
    <xf numFmtId="0" fontId="28" fillId="7" borderId="3" xfId="0" applyFont="1" applyFill="1" applyBorder="1" applyAlignment="1">
      <alignment horizontal="left" vertical="center"/>
    </xf>
    <xf numFmtId="0" fontId="5" fillId="6" borderId="0" xfId="3" applyFill="1" applyAlignment="1">
      <alignment horizontal="center"/>
    </xf>
    <xf numFmtId="0" fontId="4" fillId="6" borderId="0" xfId="2" applyFill="1" applyBorder="1" applyAlignment="1" applyProtection="1">
      <alignment horizontal="left" wrapText="1"/>
      <protection locked="0"/>
    </xf>
    <xf numFmtId="0" fontId="4" fillId="6" borderId="3" xfId="2" applyFill="1" applyBorder="1" applyAlignment="1" applyProtection="1">
      <alignment horizontal="left" wrapText="1"/>
      <protection locked="0"/>
    </xf>
    <xf numFmtId="0" fontId="36" fillId="0" borderId="1" xfId="2" applyFont="1" applyAlignment="1" applyProtection="1">
      <alignment horizontal="left" wrapText="1"/>
      <protection locked="0"/>
    </xf>
    <xf numFmtId="0" fontId="0" fillId="0" borderId="0" xfId="0" applyFill="1"/>
    <xf numFmtId="0" fontId="49" fillId="0" borderId="0" xfId="0" applyFont="1" applyAlignment="1">
      <alignment horizontal="left" wrapText="1"/>
    </xf>
    <xf numFmtId="0" fontId="50" fillId="0" borderId="4" xfId="0" applyFont="1" applyBorder="1" applyAlignment="1">
      <alignment horizontal="left" wrapText="1"/>
    </xf>
  </cellXfs>
  <cellStyles count="256">
    <cellStyle name="Comma" xfId="1" builtinId="3"/>
    <cellStyle name="Currency" xfId="243" builtinId="4"/>
    <cellStyle name="Explanatory Text" xfId="4" builtinId="53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Heading 1" xfId="2" builtinId="16"/>
    <cellStyle name="Heading 4" xfId="3" builtinId="19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8" builtinId="8"/>
    <cellStyle name="Normal" xfId="0" builtinId="0"/>
    <cellStyle name="Normal 2" xfId="167"/>
    <cellStyle name="Percent" xfId="165" builtinId="5"/>
    <cellStyle name="Title" xfId="166" builtinId="15"/>
  </cellStyles>
  <dxfs count="0"/>
  <tableStyles count="0" defaultTableStyle="TableStyleMedium9" defaultPivotStyle="PivotStyleMedium4"/>
  <colors>
    <mruColors>
      <color rgb="FFFF9900"/>
      <color rgb="FFFF66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painter/Documents/livestock/2010/2010/Dairy/EBBD5105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epainter/Documents/livestock/2010/2010/Dairy/EBB-D5-10%20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Table 1 Enterprise Budget"/>
      <sheetName val="Table 2 Capital Recovery"/>
      <sheetName val="Amortization Factors"/>
      <sheetName val="Tables 3 &amp; 4"/>
      <sheetName val="Table 5"/>
    </sheetNames>
    <sheetDataSet>
      <sheetData sheetId="0"/>
      <sheetData sheetId="1"/>
      <sheetData sheetId="2">
        <row r="2">
          <cell r="C2">
            <v>5000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Table 1 Enterprise Budget"/>
      <sheetName val="Table 2 Capital Recovery"/>
      <sheetName val="Amortization Factors"/>
      <sheetName val="Tables 3 &amp; 4"/>
      <sheetName val="Table 5"/>
    </sheetNames>
    <sheetDataSet>
      <sheetData sheetId="0"/>
      <sheetData sheetId="1">
        <row r="3">
          <cell r="B3">
            <v>249.15</v>
          </cell>
        </row>
        <row r="4">
          <cell r="B4">
            <v>14.5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inyurl.com/Idbudgets" TargetMode="External"/><Relationship Id="rId1" Type="http://schemas.openxmlformats.org/officeDocument/2006/relationships/hyperlink" Target="http://web.cals.uidaho.edu/idahoagbiz/enterprise-budget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3"/>
  <sheetViews>
    <sheetView tabSelected="1" workbookViewId="0">
      <selection activeCell="D17" sqref="D17"/>
    </sheetView>
  </sheetViews>
  <sheetFormatPr defaultRowHeight="15.75" x14ac:dyDescent="0.25"/>
  <cols>
    <col min="1" max="16384" width="9" style="22"/>
  </cols>
  <sheetData>
    <row r="2" spans="3:9" ht="20.25" x14ac:dyDescent="0.3">
      <c r="D2" s="23"/>
      <c r="F2" s="24" t="s">
        <v>43</v>
      </c>
    </row>
    <row r="3" spans="3:9" ht="20.25" x14ac:dyDescent="0.3">
      <c r="F3" s="24" t="s">
        <v>206</v>
      </c>
    </row>
    <row r="4" spans="3:9" ht="20.25" x14ac:dyDescent="0.3">
      <c r="F4" s="24"/>
    </row>
    <row r="5" spans="3:9" x14ac:dyDescent="0.25">
      <c r="C5" s="25"/>
      <c r="D5" s="25"/>
      <c r="E5" s="26"/>
      <c r="F5" s="26" t="s">
        <v>39</v>
      </c>
      <c r="G5" s="25"/>
      <c r="H5" s="25"/>
      <c r="I5" s="25"/>
    </row>
    <row r="6" spans="3:9" x14ac:dyDescent="0.25">
      <c r="C6" s="25"/>
      <c r="D6" s="25"/>
      <c r="E6" s="26"/>
      <c r="F6" s="26" t="s">
        <v>40</v>
      </c>
      <c r="G6" s="25"/>
      <c r="H6" s="25"/>
      <c r="I6" s="25"/>
    </row>
    <row r="7" spans="3:9" x14ac:dyDescent="0.25">
      <c r="C7" s="25"/>
      <c r="D7" s="25"/>
      <c r="E7" s="26"/>
      <c r="F7" s="26" t="s">
        <v>41</v>
      </c>
      <c r="G7" s="25"/>
      <c r="H7" s="25"/>
      <c r="I7" s="25"/>
    </row>
    <row r="8" spans="3:9" x14ac:dyDescent="0.25">
      <c r="C8" s="25"/>
      <c r="D8" s="25"/>
      <c r="E8" s="25"/>
      <c r="F8" s="25"/>
      <c r="G8" s="25"/>
      <c r="H8" s="25"/>
      <c r="I8" s="25"/>
    </row>
    <row r="10" spans="3:9" x14ac:dyDescent="0.25">
      <c r="C10" s="240" t="s">
        <v>42</v>
      </c>
      <c r="D10" s="241"/>
      <c r="E10" s="241"/>
      <c r="F10" s="241"/>
      <c r="G10" s="241"/>
      <c r="H10" s="241"/>
      <c r="I10" s="241"/>
    </row>
    <row r="11" spans="3:9" x14ac:dyDescent="0.25">
      <c r="C11" s="27"/>
      <c r="D11"/>
      <c r="E11"/>
      <c r="F11" s="101" t="s">
        <v>204</v>
      </c>
      <c r="G11"/>
      <c r="H11"/>
      <c r="I11" s="27"/>
    </row>
    <row r="12" spans="3:9" x14ac:dyDescent="0.25">
      <c r="F12" s="101" t="s">
        <v>205</v>
      </c>
    </row>
    <row r="13" spans="3:9" x14ac:dyDescent="0.25">
      <c r="F13" s="101"/>
    </row>
  </sheetData>
  <mergeCells count="1">
    <mergeCell ref="C10:I10"/>
  </mergeCells>
  <hyperlinks>
    <hyperlink ref="F11" r:id="rId1"/>
    <hyperlink ref="F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7"/>
  <sheetViews>
    <sheetView workbookViewId="0"/>
  </sheetViews>
  <sheetFormatPr defaultColWidth="8.875" defaultRowHeight="15.75" x14ac:dyDescent="0.25"/>
  <cols>
    <col min="2" max="2" width="34.625" customWidth="1"/>
    <col min="3" max="3" width="11" customWidth="1"/>
    <col min="4" max="4" width="7.125" customWidth="1"/>
    <col min="6" max="6" width="7.625" style="38" customWidth="1"/>
  </cols>
  <sheetData>
    <row r="1" spans="2:8" s="28" customFormat="1" ht="27.75" customHeight="1" x14ac:dyDescent="0.25">
      <c r="B1" s="242" t="s">
        <v>44</v>
      </c>
      <c r="C1" s="242"/>
      <c r="D1" s="242"/>
      <c r="E1" s="242"/>
      <c r="F1" s="36"/>
    </row>
    <row r="2" spans="2:8" s="28" customFormat="1" ht="15" customHeight="1" x14ac:dyDescent="0.25">
      <c r="B2" s="114"/>
      <c r="C2" s="114">
        <v>2012</v>
      </c>
      <c r="D2" s="114"/>
      <c r="E2" s="114">
        <v>2012</v>
      </c>
      <c r="F2" s="114"/>
      <c r="G2" s="114">
        <v>2012</v>
      </c>
      <c r="H2" s="235"/>
    </row>
    <row r="3" spans="2:8" s="28" customFormat="1" ht="15" customHeight="1" x14ac:dyDescent="0.25">
      <c r="B3" s="114" t="s">
        <v>2</v>
      </c>
      <c r="C3" s="114" t="s">
        <v>70</v>
      </c>
      <c r="D3" s="114" t="s">
        <v>3</v>
      </c>
      <c r="E3" s="114" t="s">
        <v>70</v>
      </c>
      <c r="F3" s="114" t="s">
        <v>3</v>
      </c>
      <c r="G3" s="114" t="s">
        <v>70</v>
      </c>
      <c r="H3" s="235" t="s">
        <v>3</v>
      </c>
    </row>
    <row r="4" spans="2:8" s="28" customFormat="1" ht="15" customHeight="1" x14ac:dyDescent="0.25">
      <c r="B4" s="226" t="s">
        <v>88</v>
      </c>
      <c r="C4" s="227"/>
      <c r="D4" s="228"/>
      <c r="E4" s="227"/>
      <c r="F4" s="228"/>
      <c r="G4" s="227"/>
      <c r="H4" s="236"/>
    </row>
    <row r="5" spans="2:8" s="28" customFormat="1" ht="15" customHeight="1" x14ac:dyDescent="0.25">
      <c r="B5" s="229" t="s">
        <v>22</v>
      </c>
      <c r="C5" s="29">
        <v>30</v>
      </c>
      <c r="D5" s="228" t="s">
        <v>6</v>
      </c>
      <c r="E5" s="227"/>
      <c r="F5" s="228"/>
      <c r="G5" s="237">
        <f>C5/100</f>
        <v>0.3</v>
      </c>
      <c r="H5" s="236" t="s">
        <v>21</v>
      </c>
    </row>
    <row r="6" spans="2:8" s="28" customFormat="1" ht="15" customHeight="1" x14ac:dyDescent="0.25">
      <c r="B6" s="229" t="s">
        <v>89</v>
      </c>
      <c r="C6" s="29">
        <v>4</v>
      </c>
      <c r="D6" s="228" t="s">
        <v>6</v>
      </c>
      <c r="E6" s="228"/>
      <c r="F6" s="228"/>
      <c r="G6" s="237">
        <v>0.04</v>
      </c>
      <c r="H6" s="236" t="s">
        <v>21</v>
      </c>
    </row>
    <row r="7" spans="2:8" s="28" customFormat="1" ht="15" customHeight="1" x14ac:dyDescent="0.25">
      <c r="B7" s="229" t="s">
        <v>90</v>
      </c>
      <c r="C7" s="29">
        <v>174</v>
      </c>
      <c r="D7" s="228" t="s">
        <v>6</v>
      </c>
      <c r="E7" s="228"/>
      <c r="F7" s="228"/>
      <c r="G7" s="237">
        <v>1.74</v>
      </c>
      <c r="H7" s="236" t="s">
        <v>21</v>
      </c>
    </row>
    <row r="8" spans="2:8" s="28" customFormat="1" ht="15" customHeight="1" x14ac:dyDescent="0.25">
      <c r="B8" s="229"/>
      <c r="C8" s="230"/>
      <c r="D8" s="228"/>
      <c r="E8" s="230"/>
      <c r="F8" s="228"/>
      <c r="G8" s="230"/>
      <c r="H8" s="236"/>
    </row>
    <row r="9" spans="2:8" s="28" customFormat="1" ht="15" customHeight="1" x14ac:dyDescent="0.25">
      <c r="B9" s="226" t="s">
        <v>72</v>
      </c>
      <c r="C9" s="230"/>
      <c r="D9" s="228"/>
      <c r="E9" s="230"/>
      <c r="F9" s="228"/>
      <c r="G9" s="230"/>
      <c r="H9" s="236"/>
    </row>
    <row r="10" spans="2:8" s="28" customFormat="1" ht="15" customHeight="1" x14ac:dyDescent="0.25">
      <c r="B10" s="229" t="s">
        <v>157</v>
      </c>
      <c r="C10" s="29">
        <v>344</v>
      </c>
      <c r="D10" s="228" t="s">
        <v>71</v>
      </c>
      <c r="E10" s="29">
        <f>C10/20</f>
        <v>17.2</v>
      </c>
      <c r="F10" s="228" t="s">
        <v>6</v>
      </c>
      <c r="G10" s="237">
        <f>C10/2000</f>
        <v>0.17199999999999999</v>
      </c>
      <c r="H10" s="236" t="s">
        <v>21</v>
      </c>
    </row>
    <row r="11" spans="2:8" s="28" customFormat="1" ht="15" customHeight="1" x14ac:dyDescent="0.25">
      <c r="B11" s="229" t="s">
        <v>66</v>
      </c>
      <c r="C11" s="29">
        <v>60</v>
      </c>
      <c r="D11" s="228" t="s">
        <v>71</v>
      </c>
      <c r="E11" s="29">
        <f>C11/20</f>
        <v>3</v>
      </c>
      <c r="F11" s="228" t="s">
        <v>6</v>
      </c>
      <c r="G11" s="237">
        <f>C11/2000</f>
        <v>0.03</v>
      </c>
      <c r="H11" s="236" t="s">
        <v>21</v>
      </c>
    </row>
    <row r="12" spans="2:8" s="28" customFormat="1" ht="15" customHeight="1" x14ac:dyDescent="0.25">
      <c r="B12" s="229" t="s">
        <v>32</v>
      </c>
      <c r="C12" s="29">
        <v>140</v>
      </c>
      <c r="D12" s="228" t="s">
        <v>71</v>
      </c>
      <c r="E12" s="29">
        <f t="shared" ref="E12:E28" si="0">C12/20</f>
        <v>7</v>
      </c>
      <c r="F12" s="228" t="s">
        <v>6</v>
      </c>
      <c r="G12" s="237">
        <f t="shared" ref="G12:G28" si="1">C12/2000</f>
        <v>7.0000000000000007E-2</v>
      </c>
      <c r="H12" s="236" t="s">
        <v>21</v>
      </c>
    </row>
    <row r="13" spans="2:8" s="28" customFormat="1" ht="15" customHeight="1" x14ac:dyDescent="0.25">
      <c r="B13" s="229" t="s">
        <v>165</v>
      </c>
      <c r="C13" s="29">
        <v>22</v>
      </c>
      <c r="D13" s="228" t="s">
        <v>71</v>
      </c>
      <c r="E13" s="29">
        <f>C13/20</f>
        <v>1.1000000000000001</v>
      </c>
      <c r="F13" s="228" t="s">
        <v>6</v>
      </c>
      <c r="G13" s="237">
        <f>C13/2000</f>
        <v>1.0999999999999999E-2</v>
      </c>
      <c r="H13" s="236" t="s">
        <v>21</v>
      </c>
    </row>
    <row r="14" spans="2:8" s="28" customFormat="1" ht="15" customHeight="1" x14ac:dyDescent="0.25">
      <c r="B14" s="229" t="s">
        <v>67</v>
      </c>
      <c r="C14" s="29">
        <f>240+15</f>
        <v>255</v>
      </c>
      <c r="D14" s="228" t="s">
        <v>71</v>
      </c>
      <c r="E14" s="29">
        <f t="shared" si="0"/>
        <v>12.75</v>
      </c>
      <c r="F14" s="228" t="s">
        <v>6</v>
      </c>
      <c r="G14" s="237">
        <f t="shared" si="1"/>
        <v>0.1275</v>
      </c>
      <c r="H14" s="236" t="s">
        <v>21</v>
      </c>
    </row>
    <row r="15" spans="2:8" s="28" customFormat="1" ht="15" customHeight="1" x14ac:dyDescent="0.25">
      <c r="B15" s="229" t="s">
        <v>68</v>
      </c>
      <c r="C15" s="29">
        <v>300</v>
      </c>
      <c r="D15" s="228" t="s">
        <v>71</v>
      </c>
      <c r="E15" s="29">
        <f t="shared" si="0"/>
        <v>15</v>
      </c>
      <c r="F15" s="228" t="s">
        <v>6</v>
      </c>
      <c r="G15" s="237">
        <f t="shared" si="1"/>
        <v>0.15</v>
      </c>
      <c r="H15" s="236" t="s">
        <v>21</v>
      </c>
    </row>
    <row r="16" spans="2:8" s="28" customFormat="1" ht="15" customHeight="1" x14ac:dyDescent="0.25">
      <c r="B16" s="229" t="s">
        <v>69</v>
      </c>
      <c r="C16" s="29">
        <v>250</v>
      </c>
      <c r="D16" s="228" t="s">
        <v>71</v>
      </c>
      <c r="E16" s="29">
        <f t="shared" si="0"/>
        <v>12.5</v>
      </c>
      <c r="F16" s="228" t="s">
        <v>6</v>
      </c>
      <c r="G16" s="237">
        <f t="shared" si="1"/>
        <v>0.125</v>
      </c>
      <c r="H16" s="236" t="s">
        <v>21</v>
      </c>
    </row>
    <row r="17" spans="2:8" s="28" customFormat="1" ht="15" customHeight="1" x14ac:dyDescent="0.25">
      <c r="B17" s="229" t="s">
        <v>149</v>
      </c>
      <c r="C17" s="29">
        <v>260</v>
      </c>
      <c r="D17" s="228" t="s">
        <v>71</v>
      </c>
      <c r="E17" s="29">
        <f t="shared" si="0"/>
        <v>13</v>
      </c>
      <c r="F17" s="228" t="s">
        <v>6</v>
      </c>
      <c r="G17" s="237">
        <f t="shared" si="1"/>
        <v>0.13</v>
      </c>
      <c r="H17" s="236" t="s">
        <v>21</v>
      </c>
    </row>
    <row r="18" spans="2:8" s="28" customFormat="1" ht="15" customHeight="1" x14ac:dyDescent="0.25">
      <c r="B18" s="229" t="s">
        <v>150</v>
      </c>
      <c r="C18" s="230"/>
      <c r="D18" s="228"/>
      <c r="E18" s="230"/>
      <c r="F18" s="228"/>
      <c r="G18" s="230"/>
      <c r="H18" s="236"/>
    </row>
    <row r="19" spans="2:8" s="28" customFormat="1" ht="15" customHeight="1" x14ac:dyDescent="0.25">
      <c r="B19" s="229"/>
      <c r="C19" s="230"/>
      <c r="D19" s="228"/>
      <c r="E19" s="230"/>
      <c r="F19" s="228"/>
      <c r="G19" s="230"/>
      <c r="H19" s="236"/>
    </row>
    <row r="20" spans="2:8" s="28" customFormat="1" ht="15" customHeight="1" x14ac:dyDescent="0.25">
      <c r="B20" s="226" t="s">
        <v>73</v>
      </c>
      <c r="C20" s="230"/>
      <c r="D20" s="228"/>
      <c r="E20" s="230"/>
      <c r="F20" s="228"/>
      <c r="G20" s="230"/>
      <c r="H20" s="236"/>
    </row>
    <row r="21" spans="2:8" s="28" customFormat="1" ht="15" customHeight="1" x14ac:dyDescent="0.25">
      <c r="B21" s="229" t="s">
        <v>74</v>
      </c>
      <c r="C21" s="29">
        <f>210+25</f>
        <v>235</v>
      </c>
      <c r="D21" s="228" t="s">
        <v>71</v>
      </c>
      <c r="E21" s="29">
        <f t="shared" si="0"/>
        <v>11.75</v>
      </c>
      <c r="F21" s="228" t="s">
        <v>6</v>
      </c>
      <c r="G21" s="237">
        <f t="shared" si="1"/>
        <v>0.11749999999999999</v>
      </c>
      <c r="H21" s="236" t="s">
        <v>21</v>
      </c>
    </row>
    <row r="22" spans="2:8" s="28" customFormat="1" ht="15" customHeight="1" x14ac:dyDescent="0.25">
      <c r="B22" s="229" t="s">
        <v>80</v>
      </c>
      <c r="C22" s="29">
        <v>222</v>
      </c>
      <c r="D22" s="228" t="s">
        <v>71</v>
      </c>
      <c r="E22" s="29">
        <f t="shared" si="0"/>
        <v>11.1</v>
      </c>
      <c r="F22" s="228" t="s">
        <v>6</v>
      </c>
      <c r="G22" s="237">
        <f t="shared" si="1"/>
        <v>0.111</v>
      </c>
      <c r="H22" s="236" t="s">
        <v>21</v>
      </c>
    </row>
    <row r="23" spans="2:8" s="28" customFormat="1" ht="15" customHeight="1" x14ac:dyDescent="0.25">
      <c r="B23" s="229" t="s">
        <v>81</v>
      </c>
      <c r="C23" s="29">
        <v>231</v>
      </c>
      <c r="D23" s="228" t="s">
        <v>71</v>
      </c>
      <c r="E23" s="29">
        <f t="shared" si="0"/>
        <v>11.55</v>
      </c>
      <c r="F23" s="228" t="s">
        <v>6</v>
      </c>
      <c r="G23" s="237">
        <f t="shared" si="1"/>
        <v>0.11550000000000001</v>
      </c>
      <c r="H23" s="236" t="s">
        <v>21</v>
      </c>
    </row>
    <row r="24" spans="2:8" s="28" customFormat="1" ht="15" customHeight="1" x14ac:dyDescent="0.25">
      <c r="B24" s="229" t="s">
        <v>75</v>
      </c>
      <c r="C24" s="29">
        <v>55</v>
      </c>
      <c r="D24" s="228" t="s">
        <v>71</v>
      </c>
      <c r="E24" s="29">
        <f>C24/20</f>
        <v>2.75</v>
      </c>
      <c r="F24" s="228" t="s">
        <v>6</v>
      </c>
      <c r="G24" s="237">
        <f>C24/2000</f>
        <v>2.75E-2</v>
      </c>
      <c r="H24" s="236" t="s">
        <v>21</v>
      </c>
    </row>
    <row r="25" spans="2:8" s="28" customFormat="1" ht="15" customHeight="1" x14ac:dyDescent="0.25">
      <c r="B25" s="229"/>
      <c r="C25" s="230"/>
      <c r="D25" s="228"/>
      <c r="E25" s="230"/>
      <c r="F25" s="228"/>
      <c r="G25" s="230"/>
      <c r="H25" s="236"/>
    </row>
    <row r="26" spans="2:8" s="28" customFormat="1" ht="15" customHeight="1" x14ac:dyDescent="0.25">
      <c r="B26" s="226" t="s">
        <v>82</v>
      </c>
      <c r="C26" s="230"/>
      <c r="D26" s="228"/>
      <c r="E26" s="230"/>
      <c r="F26" s="228"/>
      <c r="G26" s="230"/>
      <c r="H26" s="236"/>
    </row>
    <row r="27" spans="2:8" s="28" customFormat="1" ht="15" customHeight="1" x14ac:dyDescent="0.25">
      <c r="B27" s="229" t="s">
        <v>76</v>
      </c>
      <c r="C27" s="29">
        <v>0.41</v>
      </c>
      <c r="D27" s="228" t="s">
        <v>21</v>
      </c>
      <c r="E27" s="29">
        <f t="shared" si="0"/>
        <v>2.0499999999999997E-2</v>
      </c>
      <c r="F27" s="228" t="s">
        <v>21</v>
      </c>
      <c r="G27" s="237">
        <f t="shared" si="1"/>
        <v>2.05E-4</v>
      </c>
      <c r="H27" s="236" t="s">
        <v>21</v>
      </c>
    </row>
    <row r="28" spans="2:8" s="28" customFormat="1" ht="15" customHeight="1" x14ac:dyDescent="0.25">
      <c r="B28" s="229" t="s">
        <v>77</v>
      </c>
      <c r="C28" s="29">
        <v>0.56999999999999995</v>
      </c>
      <c r="D28" s="228" t="s">
        <v>21</v>
      </c>
      <c r="E28" s="29">
        <f t="shared" si="0"/>
        <v>2.8499999999999998E-2</v>
      </c>
      <c r="F28" s="228" t="s">
        <v>21</v>
      </c>
      <c r="G28" s="237">
        <f t="shared" si="1"/>
        <v>2.8499999999999999E-4</v>
      </c>
      <c r="H28" s="236" t="s">
        <v>21</v>
      </c>
    </row>
    <row r="29" spans="2:8" s="28" customFormat="1" ht="15" customHeight="1" x14ac:dyDescent="0.25">
      <c r="B29" s="229"/>
      <c r="C29" s="29"/>
      <c r="D29" s="228"/>
      <c r="E29" s="29"/>
      <c r="F29" s="228"/>
      <c r="G29" s="237"/>
      <c r="H29" s="236"/>
    </row>
    <row r="30" spans="2:8" s="22" customFormat="1" ht="14.25" customHeight="1" x14ac:dyDescent="0.25">
      <c r="B30" s="226" t="s">
        <v>78</v>
      </c>
      <c r="C30" s="230"/>
      <c r="D30" s="228"/>
      <c r="E30" s="230"/>
      <c r="F30" s="228"/>
      <c r="G30" s="230"/>
      <c r="H30" s="236"/>
    </row>
    <row r="31" spans="2:8" s="22" customFormat="1" ht="14.25" customHeight="1" x14ac:dyDescent="0.25">
      <c r="B31" s="226"/>
      <c r="C31" s="230"/>
      <c r="D31" s="228"/>
      <c r="E31" s="230"/>
      <c r="F31" s="228"/>
      <c r="G31" s="230"/>
      <c r="H31" s="236"/>
    </row>
    <row r="32" spans="2:8" s="22" customFormat="1" ht="15" customHeight="1" x14ac:dyDescent="0.25">
      <c r="B32" s="229" t="s">
        <v>79</v>
      </c>
      <c r="C32" s="29">
        <v>1646</v>
      </c>
      <c r="D32" s="228" t="s">
        <v>71</v>
      </c>
      <c r="E32" s="29">
        <f>C32/20</f>
        <v>82.3</v>
      </c>
      <c r="F32" s="228" t="s">
        <v>6</v>
      </c>
      <c r="G32" s="237">
        <f>C32/2000</f>
        <v>0.82299999999999995</v>
      </c>
      <c r="H32" s="236" t="s">
        <v>21</v>
      </c>
    </row>
    <row r="33" spans="1:256" s="28" customFormat="1" ht="15" customHeight="1" x14ac:dyDescent="0.25">
      <c r="B33" s="229" t="s">
        <v>169</v>
      </c>
      <c r="C33" s="29">
        <v>940</v>
      </c>
      <c r="D33" s="228" t="s">
        <v>71</v>
      </c>
      <c r="E33" s="29">
        <f>C33/20</f>
        <v>47</v>
      </c>
      <c r="F33" s="228" t="s">
        <v>6</v>
      </c>
      <c r="G33" s="237">
        <f>C33/2000</f>
        <v>0.47</v>
      </c>
      <c r="H33" s="236" t="s">
        <v>21</v>
      </c>
    </row>
    <row r="34" spans="1:256" s="22" customFormat="1" ht="15" customHeight="1" x14ac:dyDescent="0.25">
      <c r="B34" s="229"/>
      <c r="C34" s="230"/>
      <c r="D34" s="228"/>
      <c r="E34" s="230"/>
      <c r="F34" s="228"/>
      <c r="G34" s="230"/>
      <c r="H34" s="236"/>
    </row>
    <row r="35" spans="1:256" s="28" customFormat="1" ht="15" customHeight="1" x14ac:dyDescent="0.25">
      <c r="B35" s="226" t="s">
        <v>46</v>
      </c>
      <c r="C35" s="230"/>
      <c r="D35" s="228"/>
      <c r="E35" s="228"/>
      <c r="F35" s="228"/>
      <c r="G35" s="228"/>
      <c r="H35" s="236"/>
    </row>
    <row r="36" spans="1:256" s="28" customFormat="1" ht="15" customHeight="1" x14ac:dyDescent="0.25">
      <c r="B36" s="229" t="s">
        <v>47</v>
      </c>
      <c r="C36" s="29">
        <v>17.5</v>
      </c>
      <c r="D36" s="228" t="s">
        <v>48</v>
      </c>
      <c r="E36" s="228"/>
      <c r="F36" s="228"/>
      <c r="G36" s="228"/>
      <c r="H36" s="236"/>
    </row>
    <row r="37" spans="1:256" s="22" customFormat="1" ht="15" customHeight="1" x14ac:dyDescent="0.25">
      <c r="B37" s="229" t="s">
        <v>49</v>
      </c>
      <c r="C37" s="29">
        <v>10.62</v>
      </c>
      <c r="D37" s="228" t="s">
        <v>48</v>
      </c>
      <c r="E37" s="228"/>
      <c r="F37" s="228"/>
      <c r="G37" s="228"/>
      <c r="H37" s="236"/>
    </row>
    <row r="38" spans="1:256" s="28" customFormat="1" ht="15" customHeight="1" x14ac:dyDescent="0.25">
      <c r="B38" s="229"/>
      <c r="C38" s="230"/>
      <c r="D38" s="228"/>
      <c r="E38" s="230"/>
      <c r="F38" s="228"/>
      <c r="G38" s="230"/>
      <c r="H38" s="236"/>
    </row>
    <row r="39" spans="1:256" s="22" customFormat="1" ht="15" customHeight="1" x14ac:dyDescent="0.25">
      <c r="B39" s="226" t="s">
        <v>50</v>
      </c>
      <c r="C39" s="230"/>
      <c r="D39" s="228"/>
      <c r="E39" s="228"/>
      <c r="F39" s="228"/>
      <c r="G39" s="228"/>
      <c r="H39" s="236"/>
    </row>
    <row r="40" spans="1:256" s="22" customFormat="1" ht="15" customHeight="1" x14ac:dyDescent="0.25">
      <c r="B40" s="229" t="s">
        <v>51</v>
      </c>
      <c r="C40" s="31">
        <v>2.5000000000000001E-2</v>
      </c>
      <c r="D40" s="228" t="s">
        <v>52</v>
      </c>
      <c r="E40" s="228"/>
      <c r="F40" s="228"/>
      <c r="G40" s="228"/>
      <c r="H40" s="236"/>
    </row>
    <row r="41" spans="1:256" s="22" customFormat="1" ht="15" customHeight="1" x14ac:dyDescent="0.25">
      <c r="B41" s="229"/>
      <c r="C41" s="230"/>
      <c r="D41" s="228"/>
      <c r="E41" s="228"/>
      <c r="F41" s="228"/>
      <c r="G41" s="228"/>
      <c r="H41" s="236"/>
    </row>
    <row r="42" spans="1:256" s="22" customFormat="1" ht="15" customHeight="1" x14ac:dyDescent="0.25">
      <c r="B42" s="226" t="s">
        <v>53</v>
      </c>
      <c r="C42" s="230"/>
      <c r="D42" s="228"/>
      <c r="E42" s="228"/>
      <c r="F42" s="228"/>
      <c r="G42" s="228"/>
      <c r="H42" s="236"/>
    </row>
    <row r="43" spans="1:256" s="22" customFormat="1" ht="15" customHeight="1" x14ac:dyDescent="0.25">
      <c r="B43" s="229" t="s">
        <v>54</v>
      </c>
      <c r="C43" s="31">
        <v>0.05</v>
      </c>
      <c r="D43" s="228" t="s">
        <v>52</v>
      </c>
      <c r="E43" s="228"/>
      <c r="F43" s="228"/>
      <c r="G43" s="228"/>
      <c r="H43" s="236"/>
    </row>
    <row r="44" spans="1:256" s="22" customFormat="1" ht="15" customHeight="1" x14ac:dyDescent="0.25">
      <c r="B44" s="229"/>
      <c r="C44" s="230"/>
      <c r="D44" s="228"/>
      <c r="E44" s="228"/>
      <c r="F44" s="228"/>
      <c r="G44" s="228"/>
      <c r="H44" s="236"/>
    </row>
    <row r="45" spans="1:256" s="28" customFormat="1" ht="15" customHeight="1" x14ac:dyDescent="0.25">
      <c r="A45" s="30"/>
      <c r="B45" s="226" t="s">
        <v>55</v>
      </c>
      <c r="C45" s="230"/>
      <c r="D45" s="228"/>
      <c r="E45" s="228"/>
      <c r="F45" s="228"/>
      <c r="G45" s="228"/>
      <c r="H45" s="236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</row>
    <row r="46" spans="1:256" s="28" customFormat="1" ht="15" customHeight="1" x14ac:dyDescent="0.25">
      <c r="A46" s="30"/>
      <c r="B46" s="229" t="s">
        <v>56</v>
      </c>
      <c r="C46" s="29">
        <v>0</v>
      </c>
      <c r="D46" s="228" t="s">
        <v>45</v>
      </c>
      <c r="E46" s="228"/>
      <c r="F46" s="228"/>
      <c r="G46" s="228"/>
      <c r="H46" s="236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</row>
    <row r="47" spans="1:256" s="28" customFormat="1" ht="15" customHeight="1" x14ac:dyDescent="0.25">
      <c r="A47" s="30"/>
      <c r="B47" s="229"/>
      <c r="C47" s="230"/>
      <c r="D47" s="228"/>
      <c r="E47" s="228"/>
      <c r="F47" s="228"/>
      <c r="G47" s="228"/>
      <c r="H47" s="236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</row>
    <row r="48" spans="1:256" s="28" customFormat="1" ht="15" customHeight="1" x14ac:dyDescent="0.25">
      <c r="A48" s="30"/>
      <c r="B48" s="226" t="s">
        <v>57</v>
      </c>
      <c r="C48" s="230"/>
      <c r="D48" s="228"/>
      <c r="E48" s="230"/>
      <c r="F48" s="230"/>
      <c r="G48" s="230"/>
      <c r="H48" s="238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</row>
    <row r="49" spans="1:256" s="28" customFormat="1" ht="15" customHeight="1" x14ac:dyDescent="0.25">
      <c r="A49" s="30"/>
      <c r="B49" s="229" t="s">
        <v>58</v>
      </c>
      <c r="C49" s="29">
        <v>5.5</v>
      </c>
      <c r="D49" s="228" t="s">
        <v>45</v>
      </c>
      <c r="E49" s="230"/>
      <c r="F49" s="230"/>
      <c r="G49" s="230"/>
      <c r="H49" s="238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</row>
    <row r="50" spans="1:256" s="28" customFormat="1" ht="15" customHeight="1" x14ac:dyDescent="0.25">
      <c r="A50" s="30"/>
      <c r="B50" s="229"/>
      <c r="C50" s="230"/>
      <c r="D50" s="228"/>
      <c r="E50" s="230"/>
      <c r="F50" s="230"/>
      <c r="G50" s="230"/>
      <c r="H50" s="238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</row>
    <row r="51" spans="1:256" s="28" customFormat="1" ht="15" customHeight="1" x14ac:dyDescent="0.25">
      <c r="A51" s="30"/>
      <c r="B51" s="226" t="s">
        <v>59</v>
      </c>
      <c r="C51" s="230"/>
      <c r="D51" s="228"/>
      <c r="E51" s="230"/>
      <c r="F51" s="228"/>
      <c r="G51" s="230"/>
      <c r="H51" s="236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</row>
    <row r="52" spans="1:256" s="28" customFormat="1" ht="15" customHeight="1" x14ac:dyDescent="0.25">
      <c r="A52" s="30"/>
      <c r="B52" s="229" t="s">
        <v>60</v>
      </c>
      <c r="C52" s="31">
        <v>6.7500000000000004E-2</v>
      </c>
      <c r="D52" s="228" t="s">
        <v>52</v>
      </c>
      <c r="E52" s="230"/>
      <c r="F52" s="230"/>
      <c r="G52" s="230"/>
      <c r="H52" s="238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</row>
    <row r="53" spans="1:256" s="28" customFormat="1" ht="15" customHeight="1" x14ac:dyDescent="0.25">
      <c r="A53" s="30"/>
      <c r="B53" s="231" t="s">
        <v>61</v>
      </c>
      <c r="C53" s="232">
        <v>7.4999999999999997E-2</v>
      </c>
      <c r="D53" s="233" t="s">
        <v>52</v>
      </c>
      <c r="E53" s="234"/>
      <c r="F53" s="234"/>
      <c r="G53" s="234"/>
      <c r="H53" s="239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</row>
    <row r="54" spans="1:256" s="22" customFormat="1" ht="17.25" x14ac:dyDescent="0.25">
      <c r="A54" s="32"/>
      <c r="B54" s="30" t="s">
        <v>62</v>
      </c>
      <c r="C54" s="33"/>
      <c r="D54" s="33"/>
      <c r="E54" s="33"/>
      <c r="F54" s="33"/>
      <c r="G54" s="33"/>
      <c r="H54" s="33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  <c r="IK54" s="34"/>
      <c r="IL54" s="34"/>
      <c r="IM54" s="34"/>
      <c r="IN54" s="34"/>
      <c r="IO54" s="34"/>
      <c r="IP54" s="34"/>
      <c r="IQ54" s="34"/>
      <c r="IR54" s="34"/>
      <c r="IS54" s="34"/>
      <c r="IT54" s="34"/>
      <c r="IU54" s="34"/>
    </row>
    <row r="55" spans="1:256" s="22" customFormat="1" ht="17.25" x14ac:dyDescent="0.25">
      <c r="A55" s="35"/>
      <c r="B55" s="30" t="s">
        <v>63</v>
      </c>
      <c r="C55" s="35"/>
      <c r="D55" s="35"/>
      <c r="E55" s="35"/>
      <c r="F55" s="37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</row>
    <row r="56" spans="1:256" s="28" customFormat="1" ht="17.25" x14ac:dyDescent="0.25">
      <c r="A56" s="35"/>
      <c r="B56" s="30" t="s">
        <v>64</v>
      </c>
      <c r="C56" s="35"/>
      <c r="D56" s="35"/>
      <c r="E56" s="35"/>
      <c r="F56" s="37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</row>
    <row r="57" spans="1:256" s="28" customFormat="1" ht="17.25" x14ac:dyDescent="0.25">
      <c r="A57" s="35"/>
      <c r="B57" s="30" t="s">
        <v>65</v>
      </c>
      <c r="C57" s="35"/>
      <c r="D57" s="35"/>
      <c r="E57" s="35"/>
      <c r="F57" s="37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</row>
  </sheetData>
  <mergeCells count="1">
    <mergeCell ref="B1:E1"/>
  </mergeCells>
  <hyperlinks>
    <hyperlink ref="B55" location="'Soft White Winter Wheat'!A1" display="EBB1-SWW-09 "/>
    <hyperlink ref="B56" location="'Soft White Spring Wheat'!A1" display="EBB1-SSW-09 "/>
    <hyperlink ref="B57" location="'Hard Red Spring Wheat'!A1" display="EBB1-HRS-09 "/>
  </hyperlink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>
      <selection activeCell="B19" sqref="B19"/>
    </sheetView>
  </sheetViews>
  <sheetFormatPr defaultRowHeight="15.75" x14ac:dyDescent="0.25"/>
  <cols>
    <col min="1" max="1" width="5" customWidth="1"/>
    <col min="2" max="2" width="27.5" customWidth="1"/>
    <col min="4" max="4" width="9" bestFit="1" customWidth="1"/>
    <col min="5" max="5" width="10" customWidth="1"/>
  </cols>
  <sheetData>
    <row r="1" spans="2:5" ht="35.25" customHeight="1" x14ac:dyDescent="0.25">
      <c r="B1" s="248" t="s">
        <v>201</v>
      </c>
      <c r="C1" s="248"/>
      <c r="D1" s="248"/>
      <c r="E1" s="248"/>
    </row>
    <row r="2" spans="2:5" x14ac:dyDescent="0.25">
      <c r="B2" s="110"/>
      <c r="C2" s="111"/>
      <c r="D2" s="111" t="s">
        <v>208</v>
      </c>
      <c r="E2" s="112" t="s">
        <v>209</v>
      </c>
    </row>
    <row r="3" spans="2:5" x14ac:dyDescent="0.25">
      <c r="B3" s="113"/>
      <c r="C3" s="114" t="s">
        <v>3</v>
      </c>
      <c r="D3" s="115" t="s">
        <v>215</v>
      </c>
      <c r="E3" s="116" t="s">
        <v>215</v>
      </c>
    </row>
    <row r="4" spans="2:5" x14ac:dyDescent="0.25">
      <c r="B4" s="107" t="s">
        <v>196</v>
      </c>
      <c r="C4" s="108" t="s">
        <v>7</v>
      </c>
      <c r="D4" s="109">
        <v>0</v>
      </c>
      <c r="E4" s="109">
        <f>'Yr 2 Operating Costs'!$M$9</f>
        <v>1250.33</v>
      </c>
    </row>
    <row r="5" spans="2:5" x14ac:dyDescent="0.25">
      <c r="B5" s="104" t="s">
        <v>197</v>
      </c>
      <c r="C5" s="105" t="s">
        <v>7</v>
      </c>
      <c r="D5" s="106">
        <f>'Yr 1 Operating Costs'!$M$42</f>
        <v>261.45266712328765</v>
      </c>
      <c r="E5" s="106">
        <f>'Yr 2 Operating Costs'!$M$41</f>
        <v>174.55844285714284</v>
      </c>
    </row>
    <row r="6" spans="2:5" x14ac:dyDescent="0.25">
      <c r="B6" s="104" t="s">
        <v>148</v>
      </c>
      <c r="C6" s="105" t="s">
        <v>7</v>
      </c>
      <c r="D6" s="106">
        <f>'Yr 1 Operating Costs'!$M$57</f>
        <v>98.875</v>
      </c>
      <c r="E6" s="106">
        <f>'Yr 2 Operating Costs'!$M$57</f>
        <v>127.57499999999999</v>
      </c>
    </row>
    <row r="7" spans="2:5" x14ac:dyDescent="0.25">
      <c r="B7" s="104" t="s">
        <v>199</v>
      </c>
      <c r="C7" s="105" t="s">
        <v>7</v>
      </c>
      <c r="D7" s="106">
        <f>'Yr 1 Operating Costs'!$M$44</f>
        <v>31.983966666666664</v>
      </c>
      <c r="E7" s="106">
        <f>'Yr 2 Operating Costs'!$M$43</f>
        <v>27.963966666666668</v>
      </c>
    </row>
    <row r="8" spans="2:5" x14ac:dyDescent="0.25">
      <c r="B8" s="104" t="s">
        <v>198</v>
      </c>
      <c r="C8" s="105" t="s">
        <v>7</v>
      </c>
      <c r="D8" s="106">
        <f>'Yr 1 Operating Costs'!$M$62+'Yr 1 Operating Costs'!$M$68+'Yr 1 Operating Costs'!$M$12</f>
        <v>222.28869802739726</v>
      </c>
      <c r="E8" s="106">
        <f>'Yr 2 Operating Costs'!$M$61+'Yr 2 Operating Costs'!$M$66</f>
        <v>59.555844571428565</v>
      </c>
    </row>
    <row r="9" spans="2:5" x14ac:dyDescent="0.25">
      <c r="B9" s="104" t="s">
        <v>210</v>
      </c>
      <c r="C9" s="105" t="s">
        <v>7</v>
      </c>
      <c r="D9" s="106">
        <f>'Yr 1 Operating Costs'!$M$70</f>
        <v>614.60033181735162</v>
      </c>
      <c r="E9" s="106">
        <f>'Yr 2 Operating Costs'!$M$64</f>
        <v>367.59740952380946</v>
      </c>
    </row>
    <row r="10" spans="2:5" x14ac:dyDescent="0.25">
      <c r="B10" s="104" t="s">
        <v>211</v>
      </c>
      <c r="C10" s="105" t="s">
        <v>7</v>
      </c>
      <c r="D10" s="106">
        <f>-D9</f>
        <v>-614.60033181735162</v>
      </c>
      <c r="E10" s="106">
        <f>E4-E9</f>
        <v>882.73259047619047</v>
      </c>
    </row>
    <row r="11" spans="2:5" x14ac:dyDescent="0.25">
      <c r="B11" s="104" t="s">
        <v>212</v>
      </c>
      <c r="C11" s="105" t="s">
        <v>7</v>
      </c>
      <c r="D11" s="106">
        <f>'Yr 1 Operating Costs'!$M$79</f>
        <v>226.95977924959988</v>
      </c>
      <c r="E11" s="106">
        <f>'Yr 2 Operating Costs'!$M$77</f>
        <v>1113.7081413739149</v>
      </c>
    </row>
    <row r="12" spans="2:5" x14ac:dyDescent="0.25">
      <c r="B12" s="104" t="s">
        <v>213</v>
      </c>
      <c r="C12" s="105" t="s">
        <v>7</v>
      </c>
      <c r="D12" s="106">
        <f>$D$11+$D$9</f>
        <v>841.56011106695155</v>
      </c>
      <c r="E12" s="106">
        <f>E11+E9</f>
        <v>1481.3055508977245</v>
      </c>
    </row>
    <row r="13" spans="2:5" x14ac:dyDescent="0.25">
      <c r="B13" s="106" t="s">
        <v>214</v>
      </c>
      <c r="C13" s="106" t="s">
        <v>7</v>
      </c>
      <c r="D13" s="106">
        <f>-$D$12</f>
        <v>-841.56011106695155</v>
      </c>
      <c r="E13" s="106">
        <f>E4-E12</f>
        <v>-230.97555089772459</v>
      </c>
    </row>
    <row r="14" spans="2:5" ht="30" customHeight="1" x14ac:dyDescent="0.25">
      <c r="B14" s="249" t="s">
        <v>216</v>
      </c>
      <c r="C14" s="249"/>
      <c r="D14" s="249"/>
      <c r="E14" s="249"/>
    </row>
  </sheetData>
  <mergeCells count="2">
    <mergeCell ref="B1:E1"/>
    <mergeCell ref="B14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5"/>
  <sheetViews>
    <sheetView zoomScale="75" zoomScaleNormal="75" zoomScalePageLayoutView="85" workbookViewId="0">
      <selection activeCell="M21" sqref="M21"/>
    </sheetView>
  </sheetViews>
  <sheetFormatPr defaultColWidth="8.875" defaultRowHeight="15.75" x14ac:dyDescent="0.25"/>
  <cols>
    <col min="1" max="1" width="32" customWidth="1"/>
    <col min="2" max="2" width="2" customWidth="1"/>
    <col min="3" max="3" width="7.5" customWidth="1"/>
    <col min="4" max="4" width="2" customWidth="1"/>
    <col min="5" max="5" width="10.875" customWidth="1"/>
    <col min="6" max="6" width="2" customWidth="1"/>
    <col min="7" max="7" width="8.5" style="1" customWidth="1"/>
    <col min="8" max="8" width="1.5" customWidth="1"/>
    <col min="9" max="9" width="10.625" style="85" customWidth="1"/>
    <col min="10" max="10" width="1.5" customWidth="1"/>
    <col min="11" max="11" width="13.125" customWidth="1"/>
    <col min="12" max="12" width="1.625" customWidth="1"/>
    <col min="13" max="13" width="19.5" style="2" customWidth="1"/>
    <col min="14" max="14" width="1.5" customWidth="1"/>
    <col min="15" max="15" width="19.5" style="2" customWidth="1"/>
    <col min="16" max="16" width="4.875" customWidth="1"/>
    <col min="17" max="17" width="11.25" hidden="1" customWidth="1"/>
    <col min="18" max="18" width="11.5" hidden="1" customWidth="1"/>
    <col min="19" max="21" width="0" hidden="1" customWidth="1"/>
    <col min="22" max="22" width="11.5" hidden="1" customWidth="1"/>
    <col min="256" max="256" width="26.5" customWidth="1"/>
    <col min="257" max="257" width="2" customWidth="1"/>
    <col min="258" max="258" width="11.625" customWidth="1"/>
    <col min="259" max="259" width="1.125" customWidth="1"/>
    <col min="260" max="260" width="10.625" customWidth="1"/>
    <col min="261" max="261" width="1.5" customWidth="1"/>
    <col min="262" max="262" width="10.625" customWidth="1"/>
    <col min="263" max="263" width="1.625" customWidth="1"/>
    <col min="264" max="264" width="16.625" customWidth="1"/>
    <col min="265" max="265" width="1.5" customWidth="1"/>
    <col min="512" max="512" width="26.5" customWidth="1"/>
    <col min="513" max="513" width="2" customWidth="1"/>
    <col min="514" max="514" width="11.625" customWidth="1"/>
    <col min="515" max="515" width="1.125" customWidth="1"/>
    <col min="516" max="516" width="10.625" customWidth="1"/>
    <col min="517" max="517" width="1.5" customWidth="1"/>
    <col min="518" max="518" width="10.625" customWidth="1"/>
    <col min="519" max="519" width="1.625" customWidth="1"/>
    <col min="520" max="520" width="16.625" customWidth="1"/>
    <col min="521" max="521" width="1.5" customWidth="1"/>
    <col min="768" max="768" width="26.5" customWidth="1"/>
    <col min="769" max="769" width="2" customWidth="1"/>
    <col min="770" max="770" width="11.625" customWidth="1"/>
    <col min="771" max="771" width="1.125" customWidth="1"/>
    <col min="772" max="772" width="10.625" customWidth="1"/>
    <col min="773" max="773" width="1.5" customWidth="1"/>
    <col min="774" max="774" width="10.625" customWidth="1"/>
    <col min="775" max="775" width="1.625" customWidth="1"/>
    <col min="776" max="776" width="16.625" customWidth="1"/>
    <col min="777" max="777" width="1.5" customWidth="1"/>
    <col min="1024" max="1024" width="26.5" customWidth="1"/>
    <col min="1025" max="1025" width="2" customWidth="1"/>
    <col min="1026" max="1026" width="11.625" customWidth="1"/>
    <col min="1027" max="1027" width="1.125" customWidth="1"/>
    <col min="1028" max="1028" width="10.625" customWidth="1"/>
    <col min="1029" max="1029" width="1.5" customWidth="1"/>
    <col min="1030" max="1030" width="10.625" customWidth="1"/>
    <col min="1031" max="1031" width="1.625" customWidth="1"/>
    <col min="1032" max="1032" width="16.625" customWidth="1"/>
    <col min="1033" max="1033" width="1.5" customWidth="1"/>
    <col min="1280" max="1280" width="26.5" customWidth="1"/>
    <col min="1281" max="1281" width="2" customWidth="1"/>
    <col min="1282" max="1282" width="11.625" customWidth="1"/>
    <col min="1283" max="1283" width="1.125" customWidth="1"/>
    <col min="1284" max="1284" width="10.625" customWidth="1"/>
    <col min="1285" max="1285" width="1.5" customWidth="1"/>
    <col min="1286" max="1286" width="10.625" customWidth="1"/>
    <col min="1287" max="1287" width="1.625" customWidth="1"/>
    <col min="1288" max="1288" width="16.625" customWidth="1"/>
    <col min="1289" max="1289" width="1.5" customWidth="1"/>
    <col min="1536" max="1536" width="26.5" customWidth="1"/>
    <col min="1537" max="1537" width="2" customWidth="1"/>
    <col min="1538" max="1538" width="11.625" customWidth="1"/>
    <col min="1539" max="1539" width="1.125" customWidth="1"/>
    <col min="1540" max="1540" width="10.625" customWidth="1"/>
    <col min="1541" max="1541" width="1.5" customWidth="1"/>
    <col min="1542" max="1542" width="10.625" customWidth="1"/>
    <col min="1543" max="1543" width="1.625" customWidth="1"/>
    <col min="1544" max="1544" width="16.625" customWidth="1"/>
    <col min="1545" max="1545" width="1.5" customWidth="1"/>
    <col min="1792" max="1792" width="26.5" customWidth="1"/>
    <col min="1793" max="1793" width="2" customWidth="1"/>
    <col min="1794" max="1794" width="11.625" customWidth="1"/>
    <col min="1795" max="1795" width="1.125" customWidth="1"/>
    <col min="1796" max="1796" width="10.625" customWidth="1"/>
    <col min="1797" max="1797" width="1.5" customWidth="1"/>
    <col min="1798" max="1798" width="10.625" customWidth="1"/>
    <col min="1799" max="1799" width="1.625" customWidth="1"/>
    <col min="1800" max="1800" width="16.625" customWidth="1"/>
    <col min="1801" max="1801" width="1.5" customWidth="1"/>
    <col min="2048" max="2048" width="26.5" customWidth="1"/>
    <col min="2049" max="2049" width="2" customWidth="1"/>
    <col min="2050" max="2050" width="11.625" customWidth="1"/>
    <col min="2051" max="2051" width="1.125" customWidth="1"/>
    <col min="2052" max="2052" width="10.625" customWidth="1"/>
    <col min="2053" max="2053" width="1.5" customWidth="1"/>
    <col min="2054" max="2054" width="10.625" customWidth="1"/>
    <col min="2055" max="2055" width="1.625" customWidth="1"/>
    <col min="2056" max="2056" width="16.625" customWidth="1"/>
    <col min="2057" max="2057" width="1.5" customWidth="1"/>
    <col min="2304" max="2304" width="26.5" customWidth="1"/>
    <col min="2305" max="2305" width="2" customWidth="1"/>
    <col min="2306" max="2306" width="11.625" customWidth="1"/>
    <col min="2307" max="2307" width="1.125" customWidth="1"/>
    <col min="2308" max="2308" width="10.625" customWidth="1"/>
    <col min="2309" max="2309" width="1.5" customWidth="1"/>
    <col min="2310" max="2310" width="10.625" customWidth="1"/>
    <col min="2311" max="2311" width="1.625" customWidth="1"/>
    <col min="2312" max="2312" width="16.625" customWidth="1"/>
    <col min="2313" max="2313" width="1.5" customWidth="1"/>
    <col min="2560" max="2560" width="26.5" customWidth="1"/>
    <col min="2561" max="2561" width="2" customWidth="1"/>
    <col min="2562" max="2562" width="11.625" customWidth="1"/>
    <col min="2563" max="2563" width="1.125" customWidth="1"/>
    <col min="2564" max="2564" width="10.625" customWidth="1"/>
    <col min="2565" max="2565" width="1.5" customWidth="1"/>
    <col min="2566" max="2566" width="10.625" customWidth="1"/>
    <col min="2567" max="2567" width="1.625" customWidth="1"/>
    <col min="2568" max="2568" width="16.625" customWidth="1"/>
    <col min="2569" max="2569" width="1.5" customWidth="1"/>
    <col min="2816" max="2816" width="26.5" customWidth="1"/>
    <col min="2817" max="2817" width="2" customWidth="1"/>
    <col min="2818" max="2818" width="11.625" customWidth="1"/>
    <col min="2819" max="2819" width="1.125" customWidth="1"/>
    <col min="2820" max="2820" width="10.625" customWidth="1"/>
    <col min="2821" max="2821" width="1.5" customWidth="1"/>
    <col min="2822" max="2822" width="10.625" customWidth="1"/>
    <col min="2823" max="2823" width="1.625" customWidth="1"/>
    <col min="2824" max="2824" width="16.625" customWidth="1"/>
    <col min="2825" max="2825" width="1.5" customWidth="1"/>
    <col min="3072" max="3072" width="26.5" customWidth="1"/>
    <col min="3073" max="3073" width="2" customWidth="1"/>
    <col min="3074" max="3074" width="11.625" customWidth="1"/>
    <col min="3075" max="3075" width="1.125" customWidth="1"/>
    <col min="3076" max="3076" width="10.625" customWidth="1"/>
    <col min="3077" max="3077" width="1.5" customWidth="1"/>
    <col min="3078" max="3078" width="10.625" customWidth="1"/>
    <col min="3079" max="3079" width="1.625" customWidth="1"/>
    <col min="3080" max="3080" width="16.625" customWidth="1"/>
    <col min="3081" max="3081" width="1.5" customWidth="1"/>
    <col min="3328" max="3328" width="26.5" customWidth="1"/>
    <col min="3329" max="3329" width="2" customWidth="1"/>
    <col min="3330" max="3330" width="11.625" customWidth="1"/>
    <col min="3331" max="3331" width="1.125" customWidth="1"/>
    <col min="3332" max="3332" width="10.625" customWidth="1"/>
    <col min="3333" max="3333" width="1.5" customWidth="1"/>
    <col min="3334" max="3334" width="10.625" customWidth="1"/>
    <col min="3335" max="3335" width="1.625" customWidth="1"/>
    <col min="3336" max="3336" width="16.625" customWidth="1"/>
    <col min="3337" max="3337" width="1.5" customWidth="1"/>
    <col min="3584" max="3584" width="26.5" customWidth="1"/>
    <col min="3585" max="3585" width="2" customWidth="1"/>
    <col min="3586" max="3586" width="11.625" customWidth="1"/>
    <col min="3587" max="3587" width="1.125" customWidth="1"/>
    <col min="3588" max="3588" width="10.625" customWidth="1"/>
    <col min="3589" max="3589" width="1.5" customWidth="1"/>
    <col min="3590" max="3590" width="10.625" customWidth="1"/>
    <col min="3591" max="3591" width="1.625" customWidth="1"/>
    <col min="3592" max="3592" width="16.625" customWidth="1"/>
    <col min="3593" max="3593" width="1.5" customWidth="1"/>
    <col min="3840" max="3840" width="26.5" customWidth="1"/>
    <col min="3841" max="3841" width="2" customWidth="1"/>
    <col min="3842" max="3842" width="11.625" customWidth="1"/>
    <col min="3843" max="3843" width="1.125" customWidth="1"/>
    <col min="3844" max="3844" width="10.625" customWidth="1"/>
    <col min="3845" max="3845" width="1.5" customWidth="1"/>
    <col min="3846" max="3846" width="10.625" customWidth="1"/>
    <col min="3847" max="3847" width="1.625" customWidth="1"/>
    <col min="3848" max="3848" width="16.625" customWidth="1"/>
    <col min="3849" max="3849" width="1.5" customWidth="1"/>
    <col min="4096" max="4096" width="26.5" customWidth="1"/>
    <col min="4097" max="4097" width="2" customWidth="1"/>
    <col min="4098" max="4098" width="11.625" customWidth="1"/>
    <col min="4099" max="4099" width="1.125" customWidth="1"/>
    <col min="4100" max="4100" width="10.625" customWidth="1"/>
    <col min="4101" max="4101" width="1.5" customWidth="1"/>
    <col min="4102" max="4102" width="10.625" customWidth="1"/>
    <col min="4103" max="4103" width="1.625" customWidth="1"/>
    <col min="4104" max="4104" width="16.625" customWidth="1"/>
    <col min="4105" max="4105" width="1.5" customWidth="1"/>
    <col min="4352" max="4352" width="26.5" customWidth="1"/>
    <col min="4353" max="4353" width="2" customWidth="1"/>
    <col min="4354" max="4354" width="11.625" customWidth="1"/>
    <col min="4355" max="4355" width="1.125" customWidth="1"/>
    <col min="4356" max="4356" width="10.625" customWidth="1"/>
    <col min="4357" max="4357" width="1.5" customWidth="1"/>
    <col min="4358" max="4358" width="10.625" customWidth="1"/>
    <col min="4359" max="4359" width="1.625" customWidth="1"/>
    <col min="4360" max="4360" width="16.625" customWidth="1"/>
    <col min="4361" max="4361" width="1.5" customWidth="1"/>
    <col min="4608" max="4608" width="26.5" customWidth="1"/>
    <col min="4609" max="4609" width="2" customWidth="1"/>
    <col min="4610" max="4610" width="11.625" customWidth="1"/>
    <col min="4611" max="4611" width="1.125" customWidth="1"/>
    <col min="4612" max="4612" width="10.625" customWidth="1"/>
    <col min="4613" max="4613" width="1.5" customWidth="1"/>
    <col min="4614" max="4614" width="10.625" customWidth="1"/>
    <col min="4615" max="4615" width="1.625" customWidth="1"/>
    <col min="4616" max="4616" width="16.625" customWidth="1"/>
    <col min="4617" max="4617" width="1.5" customWidth="1"/>
    <col min="4864" max="4864" width="26.5" customWidth="1"/>
    <col min="4865" max="4865" width="2" customWidth="1"/>
    <col min="4866" max="4866" width="11.625" customWidth="1"/>
    <col min="4867" max="4867" width="1.125" customWidth="1"/>
    <col min="4868" max="4868" width="10.625" customWidth="1"/>
    <col min="4869" max="4869" width="1.5" customWidth="1"/>
    <col min="4870" max="4870" width="10.625" customWidth="1"/>
    <col min="4871" max="4871" width="1.625" customWidth="1"/>
    <col min="4872" max="4872" width="16.625" customWidth="1"/>
    <col min="4873" max="4873" width="1.5" customWidth="1"/>
    <col min="5120" max="5120" width="26.5" customWidth="1"/>
    <col min="5121" max="5121" width="2" customWidth="1"/>
    <col min="5122" max="5122" width="11.625" customWidth="1"/>
    <col min="5123" max="5123" width="1.125" customWidth="1"/>
    <col min="5124" max="5124" width="10.625" customWidth="1"/>
    <col min="5125" max="5125" width="1.5" customWidth="1"/>
    <col min="5126" max="5126" width="10.625" customWidth="1"/>
    <col min="5127" max="5127" width="1.625" customWidth="1"/>
    <col min="5128" max="5128" width="16.625" customWidth="1"/>
    <col min="5129" max="5129" width="1.5" customWidth="1"/>
    <col min="5376" max="5376" width="26.5" customWidth="1"/>
    <col min="5377" max="5377" width="2" customWidth="1"/>
    <col min="5378" max="5378" width="11.625" customWidth="1"/>
    <col min="5379" max="5379" width="1.125" customWidth="1"/>
    <col min="5380" max="5380" width="10.625" customWidth="1"/>
    <col min="5381" max="5381" width="1.5" customWidth="1"/>
    <col min="5382" max="5382" width="10.625" customWidth="1"/>
    <col min="5383" max="5383" width="1.625" customWidth="1"/>
    <col min="5384" max="5384" width="16.625" customWidth="1"/>
    <col min="5385" max="5385" width="1.5" customWidth="1"/>
    <col min="5632" max="5632" width="26.5" customWidth="1"/>
    <col min="5633" max="5633" width="2" customWidth="1"/>
    <col min="5634" max="5634" width="11.625" customWidth="1"/>
    <col min="5635" max="5635" width="1.125" customWidth="1"/>
    <col min="5636" max="5636" width="10.625" customWidth="1"/>
    <col min="5637" max="5637" width="1.5" customWidth="1"/>
    <col min="5638" max="5638" width="10.625" customWidth="1"/>
    <col min="5639" max="5639" width="1.625" customWidth="1"/>
    <col min="5640" max="5640" width="16.625" customWidth="1"/>
    <col min="5641" max="5641" width="1.5" customWidth="1"/>
    <col min="5888" max="5888" width="26.5" customWidth="1"/>
    <col min="5889" max="5889" width="2" customWidth="1"/>
    <col min="5890" max="5890" width="11.625" customWidth="1"/>
    <col min="5891" max="5891" width="1.125" customWidth="1"/>
    <col min="5892" max="5892" width="10.625" customWidth="1"/>
    <col min="5893" max="5893" width="1.5" customWidth="1"/>
    <col min="5894" max="5894" width="10.625" customWidth="1"/>
    <col min="5895" max="5895" width="1.625" customWidth="1"/>
    <col min="5896" max="5896" width="16.625" customWidth="1"/>
    <col min="5897" max="5897" width="1.5" customWidth="1"/>
    <col min="6144" max="6144" width="26.5" customWidth="1"/>
    <col min="6145" max="6145" width="2" customWidth="1"/>
    <col min="6146" max="6146" width="11.625" customWidth="1"/>
    <col min="6147" max="6147" width="1.125" customWidth="1"/>
    <col min="6148" max="6148" width="10.625" customWidth="1"/>
    <col min="6149" max="6149" width="1.5" customWidth="1"/>
    <col min="6150" max="6150" width="10.625" customWidth="1"/>
    <col min="6151" max="6151" width="1.625" customWidth="1"/>
    <col min="6152" max="6152" width="16.625" customWidth="1"/>
    <col min="6153" max="6153" width="1.5" customWidth="1"/>
    <col min="6400" max="6400" width="26.5" customWidth="1"/>
    <col min="6401" max="6401" width="2" customWidth="1"/>
    <col min="6402" max="6402" width="11.625" customWidth="1"/>
    <col min="6403" max="6403" width="1.125" customWidth="1"/>
    <col min="6404" max="6404" width="10.625" customWidth="1"/>
    <col min="6405" max="6405" width="1.5" customWidth="1"/>
    <col min="6406" max="6406" width="10.625" customWidth="1"/>
    <col min="6407" max="6407" width="1.625" customWidth="1"/>
    <col min="6408" max="6408" width="16.625" customWidth="1"/>
    <col min="6409" max="6409" width="1.5" customWidth="1"/>
    <col min="6656" max="6656" width="26.5" customWidth="1"/>
    <col min="6657" max="6657" width="2" customWidth="1"/>
    <col min="6658" max="6658" width="11.625" customWidth="1"/>
    <col min="6659" max="6659" width="1.125" customWidth="1"/>
    <col min="6660" max="6660" width="10.625" customWidth="1"/>
    <col min="6661" max="6661" width="1.5" customWidth="1"/>
    <col min="6662" max="6662" width="10.625" customWidth="1"/>
    <col min="6663" max="6663" width="1.625" customWidth="1"/>
    <col min="6664" max="6664" width="16.625" customWidth="1"/>
    <col min="6665" max="6665" width="1.5" customWidth="1"/>
    <col min="6912" max="6912" width="26.5" customWidth="1"/>
    <col min="6913" max="6913" width="2" customWidth="1"/>
    <col min="6914" max="6914" width="11.625" customWidth="1"/>
    <col min="6915" max="6915" width="1.125" customWidth="1"/>
    <col min="6916" max="6916" width="10.625" customWidth="1"/>
    <col min="6917" max="6917" width="1.5" customWidth="1"/>
    <col min="6918" max="6918" width="10.625" customWidth="1"/>
    <col min="6919" max="6919" width="1.625" customWidth="1"/>
    <col min="6920" max="6920" width="16.625" customWidth="1"/>
    <col min="6921" max="6921" width="1.5" customWidth="1"/>
    <col min="7168" max="7168" width="26.5" customWidth="1"/>
    <col min="7169" max="7169" width="2" customWidth="1"/>
    <col min="7170" max="7170" width="11.625" customWidth="1"/>
    <col min="7171" max="7171" width="1.125" customWidth="1"/>
    <col min="7172" max="7172" width="10.625" customWidth="1"/>
    <col min="7173" max="7173" width="1.5" customWidth="1"/>
    <col min="7174" max="7174" width="10.625" customWidth="1"/>
    <col min="7175" max="7175" width="1.625" customWidth="1"/>
    <col min="7176" max="7176" width="16.625" customWidth="1"/>
    <col min="7177" max="7177" width="1.5" customWidth="1"/>
    <col min="7424" max="7424" width="26.5" customWidth="1"/>
    <col min="7425" max="7425" width="2" customWidth="1"/>
    <col min="7426" max="7426" width="11.625" customWidth="1"/>
    <col min="7427" max="7427" width="1.125" customWidth="1"/>
    <col min="7428" max="7428" width="10.625" customWidth="1"/>
    <col min="7429" max="7429" width="1.5" customWidth="1"/>
    <col min="7430" max="7430" width="10.625" customWidth="1"/>
    <col min="7431" max="7431" width="1.625" customWidth="1"/>
    <col min="7432" max="7432" width="16.625" customWidth="1"/>
    <col min="7433" max="7433" width="1.5" customWidth="1"/>
    <col min="7680" max="7680" width="26.5" customWidth="1"/>
    <col min="7681" max="7681" width="2" customWidth="1"/>
    <col min="7682" max="7682" width="11.625" customWidth="1"/>
    <col min="7683" max="7683" width="1.125" customWidth="1"/>
    <col min="7684" max="7684" width="10.625" customWidth="1"/>
    <col min="7685" max="7685" width="1.5" customWidth="1"/>
    <col min="7686" max="7686" width="10.625" customWidth="1"/>
    <col min="7687" max="7687" width="1.625" customWidth="1"/>
    <col min="7688" max="7688" width="16.625" customWidth="1"/>
    <col min="7689" max="7689" width="1.5" customWidth="1"/>
    <col min="7936" max="7936" width="26.5" customWidth="1"/>
    <col min="7937" max="7937" width="2" customWidth="1"/>
    <col min="7938" max="7938" width="11.625" customWidth="1"/>
    <col min="7939" max="7939" width="1.125" customWidth="1"/>
    <col min="7940" max="7940" width="10.625" customWidth="1"/>
    <col min="7941" max="7941" width="1.5" customWidth="1"/>
    <col min="7942" max="7942" width="10.625" customWidth="1"/>
    <col min="7943" max="7943" width="1.625" customWidth="1"/>
    <col min="7944" max="7944" width="16.625" customWidth="1"/>
    <col min="7945" max="7945" width="1.5" customWidth="1"/>
    <col min="8192" max="8192" width="26.5" customWidth="1"/>
    <col min="8193" max="8193" width="2" customWidth="1"/>
    <col min="8194" max="8194" width="11.625" customWidth="1"/>
    <col min="8195" max="8195" width="1.125" customWidth="1"/>
    <col min="8196" max="8196" width="10.625" customWidth="1"/>
    <col min="8197" max="8197" width="1.5" customWidth="1"/>
    <col min="8198" max="8198" width="10.625" customWidth="1"/>
    <col min="8199" max="8199" width="1.625" customWidth="1"/>
    <col min="8200" max="8200" width="16.625" customWidth="1"/>
    <col min="8201" max="8201" width="1.5" customWidth="1"/>
    <col min="8448" max="8448" width="26.5" customWidth="1"/>
    <col min="8449" max="8449" width="2" customWidth="1"/>
    <col min="8450" max="8450" width="11.625" customWidth="1"/>
    <col min="8451" max="8451" width="1.125" customWidth="1"/>
    <col min="8452" max="8452" width="10.625" customWidth="1"/>
    <col min="8453" max="8453" width="1.5" customWidth="1"/>
    <col min="8454" max="8454" width="10.625" customWidth="1"/>
    <col min="8455" max="8455" width="1.625" customWidth="1"/>
    <col min="8456" max="8456" width="16.625" customWidth="1"/>
    <col min="8457" max="8457" width="1.5" customWidth="1"/>
    <col min="8704" max="8704" width="26.5" customWidth="1"/>
    <col min="8705" max="8705" width="2" customWidth="1"/>
    <col min="8706" max="8706" width="11.625" customWidth="1"/>
    <col min="8707" max="8707" width="1.125" customWidth="1"/>
    <col min="8708" max="8708" width="10.625" customWidth="1"/>
    <col min="8709" max="8709" width="1.5" customWidth="1"/>
    <col min="8710" max="8710" width="10.625" customWidth="1"/>
    <col min="8711" max="8711" width="1.625" customWidth="1"/>
    <col min="8712" max="8712" width="16.625" customWidth="1"/>
    <col min="8713" max="8713" width="1.5" customWidth="1"/>
    <col min="8960" max="8960" width="26.5" customWidth="1"/>
    <col min="8961" max="8961" width="2" customWidth="1"/>
    <col min="8962" max="8962" width="11.625" customWidth="1"/>
    <col min="8963" max="8963" width="1.125" customWidth="1"/>
    <col min="8964" max="8964" width="10.625" customWidth="1"/>
    <col min="8965" max="8965" width="1.5" customWidth="1"/>
    <col min="8966" max="8966" width="10.625" customWidth="1"/>
    <col min="8967" max="8967" width="1.625" customWidth="1"/>
    <col min="8968" max="8968" width="16.625" customWidth="1"/>
    <col min="8969" max="8969" width="1.5" customWidth="1"/>
    <col min="9216" max="9216" width="26.5" customWidth="1"/>
    <col min="9217" max="9217" width="2" customWidth="1"/>
    <col min="9218" max="9218" width="11.625" customWidth="1"/>
    <col min="9219" max="9219" width="1.125" customWidth="1"/>
    <col min="9220" max="9220" width="10.625" customWidth="1"/>
    <col min="9221" max="9221" width="1.5" customWidth="1"/>
    <col min="9222" max="9222" width="10.625" customWidth="1"/>
    <col min="9223" max="9223" width="1.625" customWidth="1"/>
    <col min="9224" max="9224" width="16.625" customWidth="1"/>
    <col min="9225" max="9225" width="1.5" customWidth="1"/>
    <col min="9472" max="9472" width="26.5" customWidth="1"/>
    <col min="9473" max="9473" width="2" customWidth="1"/>
    <col min="9474" max="9474" width="11.625" customWidth="1"/>
    <col min="9475" max="9475" width="1.125" customWidth="1"/>
    <col min="9476" max="9476" width="10.625" customWidth="1"/>
    <col min="9477" max="9477" width="1.5" customWidth="1"/>
    <col min="9478" max="9478" width="10.625" customWidth="1"/>
    <col min="9479" max="9479" width="1.625" customWidth="1"/>
    <col min="9480" max="9480" width="16.625" customWidth="1"/>
    <col min="9481" max="9481" width="1.5" customWidth="1"/>
    <col min="9728" max="9728" width="26.5" customWidth="1"/>
    <col min="9729" max="9729" width="2" customWidth="1"/>
    <col min="9730" max="9730" width="11.625" customWidth="1"/>
    <col min="9731" max="9731" width="1.125" customWidth="1"/>
    <col min="9732" max="9732" width="10.625" customWidth="1"/>
    <col min="9733" max="9733" width="1.5" customWidth="1"/>
    <col min="9734" max="9734" width="10.625" customWidth="1"/>
    <col min="9735" max="9735" width="1.625" customWidth="1"/>
    <col min="9736" max="9736" width="16.625" customWidth="1"/>
    <col min="9737" max="9737" width="1.5" customWidth="1"/>
    <col min="9984" max="9984" width="26.5" customWidth="1"/>
    <col min="9985" max="9985" width="2" customWidth="1"/>
    <col min="9986" max="9986" width="11.625" customWidth="1"/>
    <col min="9987" max="9987" width="1.125" customWidth="1"/>
    <col min="9988" max="9988" width="10.625" customWidth="1"/>
    <col min="9989" max="9989" width="1.5" customWidth="1"/>
    <col min="9990" max="9990" width="10.625" customWidth="1"/>
    <col min="9991" max="9991" width="1.625" customWidth="1"/>
    <col min="9992" max="9992" width="16.625" customWidth="1"/>
    <col min="9993" max="9993" width="1.5" customWidth="1"/>
    <col min="10240" max="10240" width="26.5" customWidth="1"/>
    <col min="10241" max="10241" width="2" customWidth="1"/>
    <col min="10242" max="10242" width="11.625" customWidth="1"/>
    <col min="10243" max="10243" width="1.125" customWidth="1"/>
    <col min="10244" max="10244" width="10.625" customWidth="1"/>
    <col min="10245" max="10245" width="1.5" customWidth="1"/>
    <col min="10246" max="10246" width="10.625" customWidth="1"/>
    <col min="10247" max="10247" width="1.625" customWidth="1"/>
    <col min="10248" max="10248" width="16.625" customWidth="1"/>
    <col min="10249" max="10249" width="1.5" customWidth="1"/>
    <col min="10496" max="10496" width="26.5" customWidth="1"/>
    <col min="10497" max="10497" width="2" customWidth="1"/>
    <col min="10498" max="10498" width="11.625" customWidth="1"/>
    <col min="10499" max="10499" width="1.125" customWidth="1"/>
    <col min="10500" max="10500" width="10.625" customWidth="1"/>
    <col min="10501" max="10501" width="1.5" customWidth="1"/>
    <col min="10502" max="10502" width="10.625" customWidth="1"/>
    <col min="10503" max="10503" width="1.625" customWidth="1"/>
    <col min="10504" max="10504" width="16.625" customWidth="1"/>
    <col min="10505" max="10505" width="1.5" customWidth="1"/>
    <col min="10752" max="10752" width="26.5" customWidth="1"/>
    <col min="10753" max="10753" width="2" customWidth="1"/>
    <col min="10754" max="10754" width="11.625" customWidth="1"/>
    <col min="10755" max="10755" width="1.125" customWidth="1"/>
    <col min="10756" max="10756" width="10.625" customWidth="1"/>
    <col min="10757" max="10757" width="1.5" customWidth="1"/>
    <col min="10758" max="10758" width="10.625" customWidth="1"/>
    <col min="10759" max="10759" width="1.625" customWidth="1"/>
    <col min="10760" max="10760" width="16.625" customWidth="1"/>
    <col min="10761" max="10761" width="1.5" customWidth="1"/>
    <col min="11008" max="11008" width="26.5" customWidth="1"/>
    <col min="11009" max="11009" width="2" customWidth="1"/>
    <col min="11010" max="11010" width="11.625" customWidth="1"/>
    <col min="11011" max="11011" width="1.125" customWidth="1"/>
    <col min="11012" max="11012" width="10.625" customWidth="1"/>
    <col min="11013" max="11013" width="1.5" customWidth="1"/>
    <col min="11014" max="11014" width="10.625" customWidth="1"/>
    <col min="11015" max="11015" width="1.625" customWidth="1"/>
    <col min="11016" max="11016" width="16.625" customWidth="1"/>
    <col min="11017" max="11017" width="1.5" customWidth="1"/>
    <col min="11264" max="11264" width="26.5" customWidth="1"/>
    <col min="11265" max="11265" width="2" customWidth="1"/>
    <col min="11266" max="11266" width="11.625" customWidth="1"/>
    <col min="11267" max="11267" width="1.125" customWidth="1"/>
    <col min="11268" max="11268" width="10.625" customWidth="1"/>
    <col min="11269" max="11269" width="1.5" customWidth="1"/>
    <col min="11270" max="11270" width="10.625" customWidth="1"/>
    <col min="11271" max="11271" width="1.625" customWidth="1"/>
    <col min="11272" max="11272" width="16.625" customWidth="1"/>
    <col min="11273" max="11273" width="1.5" customWidth="1"/>
    <col min="11520" max="11520" width="26.5" customWidth="1"/>
    <col min="11521" max="11521" width="2" customWidth="1"/>
    <col min="11522" max="11522" width="11.625" customWidth="1"/>
    <col min="11523" max="11523" width="1.125" customWidth="1"/>
    <col min="11524" max="11524" width="10.625" customWidth="1"/>
    <col min="11525" max="11525" width="1.5" customWidth="1"/>
    <col min="11526" max="11526" width="10.625" customWidth="1"/>
    <col min="11527" max="11527" width="1.625" customWidth="1"/>
    <col min="11528" max="11528" width="16.625" customWidth="1"/>
    <col min="11529" max="11529" width="1.5" customWidth="1"/>
    <col min="11776" max="11776" width="26.5" customWidth="1"/>
    <col min="11777" max="11777" width="2" customWidth="1"/>
    <col min="11778" max="11778" width="11.625" customWidth="1"/>
    <col min="11779" max="11779" width="1.125" customWidth="1"/>
    <col min="11780" max="11780" width="10.625" customWidth="1"/>
    <col min="11781" max="11781" width="1.5" customWidth="1"/>
    <col min="11782" max="11782" width="10.625" customWidth="1"/>
    <col min="11783" max="11783" width="1.625" customWidth="1"/>
    <col min="11784" max="11784" width="16.625" customWidth="1"/>
    <col min="11785" max="11785" width="1.5" customWidth="1"/>
    <col min="12032" max="12032" width="26.5" customWidth="1"/>
    <col min="12033" max="12033" width="2" customWidth="1"/>
    <col min="12034" max="12034" width="11.625" customWidth="1"/>
    <col min="12035" max="12035" width="1.125" customWidth="1"/>
    <col min="12036" max="12036" width="10.625" customWidth="1"/>
    <col min="12037" max="12037" width="1.5" customWidth="1"/>
    <col min="12038" max="12038" width="10.625" customWidth="1"/>
    <col min="12039" max="12039" width="1.625" customWidth="1"/>
    <col min="12040" max="12040" width="16.625" customWidth="1"/>
    <col min="12041" max="12041" width="1.5" customWidth="1"/>
    <col min="12288" max="12288" width="26.5" customWidth="1"/>
    <col min="12289" max="12289" width="2" customWidth="1"/>
    <col min="12290" max="12290" width="11.625" customWidth="1"/>
    <col min="12291" max="12291" width="1.125" customWidth="1"/>
    <col min="12292" max="12292" width="10.625" customWidth="1"/>
    <col min="12293" max="12293" width="1.5" customWidth="1"/>
    <col min="12294" max="12294" width="10.625" customWidth="1"/>
    <col min="12295" max="12295" width="1.625" customWidth="1"/>
    <col min="12296" max="12296" width="16.625" customWidth="1"/>
    <col min="12297" max="12297" width="1.5" customWidth="1"/>
    <col min="12544" max="12544" width="26.5" customWidth="1"/>
    <col min="12545" max="12545" width="2" customWidth="1"/>
    <col min="12546" max="12546" width="11.625" customWidth="1"/>
    <col min="12547" max="12547" width="1.125" customWidth="1"/>
    <col min="12548" max="12548" width="10.625" customWidth="1"/>
    <col min="12549" max="12549" width="1.5" customWidth="1"/>
    <col min="12550" max="12550" width="10.625" customWidth="1"/>
    <col min="12551" max="12551" width="1.625" customWidth="1"/>
    <col min="12552" max="12552" width="16.625" customWidth="1"/>
    <col min="12553" max="12553" width="1.5" customWidth="1"/>
    <col min="12800" max="12800" width="26.5" customWidth="1"/>
    <col min="12801" max="12801" width="2" customWidth="1"/>
    <col min="12802" max="12802" width="11.625" customWidth="1"/>
    <col min="12803" max="12803" width="1.125" customWidth="1"/>
    <col min="12804" max="12804" width="10.625" customWidth="1"/>
    <col min="12805" max="12805" width="1.5" customWidth="1"/>
    <col min="12806" max="12806" width="10.625" customWidth="1"/>
    <col min="12807" max="12807" width="1.625" customWidth="1"/>
    <col min="12808" max="12808" width="16.625" customWidth="1"/>
    <col min="12809" max="12809" width="1.5" customWidth="1"/>
    <col min="13056" max="13056" width="26.5" customWidth="1"/>
    <col min="13057" max="13057" width="2" customWidth="1"/>
    <col min="13058" max="13058" width="11.625" customWidth="1"/>
    <col min="13059" max="13059" width="1.125" customWidth="1"/>
    <col min="13060" max="13060" width="10.625" customWidth="1"/>
    <col min="13061" max="13061" width="1.5" customWidth="1"/>
    <col min="13062" max="13062" width="10.625" customWidth="1"/>
    <col min="13063" max="13063" width="1.625" customWidth="1"/>
    <col min="13064" max="13064" width="16.625" customWidth="1"/>
    <col min="13065" max="13065" width="1.5" customWidth="1"/>
    <col min="13312" max="13312" width="26.5" customWidth="1"/>
    <col min="13313" max="13313" width="2" customWidth="1"/>
    <col min="13314" max="13314" width="11.625" customWidth="1"/>
    <col min="13315" max="13315" width="1.125" customWidth="1"/>
    <col min="13316" max="13316" width="10.625" customWidth="1"/>
    <col min="13317" max="13317" width="1.5" customWidth="1"/>
    <col min="13318" max="13318" width="10.625" customWidth="1"/>
    <col min="13319" max="13319" width="1.625" customWidth="1"/>
    <col min="13320" max="13320" width="16.625" customWidth="1"/>
    <col min="13321" max="13321" width="1.5" customWidth="1"/>
    <col min="13568" max="13568" width="26.5" customWidth="1"/>
    <col min="13569" max="13569" width="2" customWidth="1"/>
    <col min="13570" max="13570" width="11.625" customWidth="1"/>
    <col min="13571" max="13571" width="1.125" customWidth="1"/>
    <col min="13572" max="13572" width="10.625" customWidth="1"/>
    <col min="13573" max="13573" width="1.5" customWidth="1"/>
    <col min="13574" max="13574" width="10.625" customWidth="1"/>
    <col min="13575" max="13575" width="1.625" customWidth="1"/>
    <col min="13576" max="13576" width="16.625" customWidth="1"/>
    <col min="13577" max="13577" width="1.5" customWidth="1"/>
    <col min="13824" max="13824" width="26.5" customWidth="1"/>
    <col min="13825" max="13825" width="2" customWidth="1"/>
    <col min="13826" max="13826" width="11.625" customWidth="1"/>
    <col min="13827" max="13827" width="1.125" customWidth="1"/>
    <col min="13828" max="13828" width="10.625" customWidth="1"/>
    <col min="13829" max="13829" width="1.5" customWidth="1"/>
    <col min="13830" max="13830" width="10.625" customWidth="1"/>
    <col min="13831" max="13831" width="1.625" customWidth="1"/>
    <col min="13832" max="13832" width="16.625" customWidth="1"/>
    <col min="13833" max="13833" width="1.5" customWidth="1"/>
    <col min="14080" max="14080" width="26.5" customWidth="1"/>
    <col min="14081" max="14081" width="2" customWidth="1"/>
    <col min="14082" max="14082" width="11.625" customWidth="1"/>
    <col min="14083" max="14083" width="1.125" customWidth="1"/>
    <col min="14084" max="14084" width="10.625" customWidth="1"/>
    <col min="14085" max="14085" width="1.5" customWidth="1"/>
    <col min="14086" max="14086" width="10.625" customWidth="1"/>
    <col min="14087" max="14087" width="1.625" customWidth="1"/>
    <col min="14088" max="14088" width="16.625" customWidth="1"/>
    <col min="14089" max="14089" width="1.5" customWidth="1"/>
    <col min="14336" max="14336" width="26.5" customWidth="1"/>
    <col min="14337" max="14337" width="2" customWidth="1"/>
    <col min="14338" max="14338" width="11.625" customWidth="1"/>
    <col min="14339" max="14339" width="1.125" customWidth="1"/>
    <col min="14340" max="14340" width="10.625" customWidth="1"/>
    <col min="14341" max="14341" width="1.5" customWidth="1"/>
    <col min="14342" max="14342" width="10.625" customWidth="1"/>
    <col min="14343" max="14343" width="1.625" customWidth="1"/>
    <col min="14344" max="14344" width="16.625" customWidth="1"/>
    <col min="14345" max="14345" width="1.5" customWidth="1"/>
    <col min="14592" max="14592" width="26.5" customWidth="1"/>
    <col min="14593" max="14593" width="2" customWidth="1"/>
    <col min="14594" max="14594" width="11.625" customWidth="1"/>
    <col min="14595" max="14595" width="1.125" customWidth="1"/>
    <col min="14596" max="14596" width="10.625" customWidth="1"/>
    <col min="14597" max="14597" width="1.5" customWidth="1"/>
    <col min="14598" max="14598" width="10.625" customWidth="1"/>
    <col min="14599" max="14599" width="1.625" customWidth="1"/>
    <col min="14600" max="14600" width="16.625" customWidth="1"/>
    <col min="14601" max="14601" width="1.5" customWidth="1"/>
    <col min="14848" max="14848" width="26.5" customWidth="1"/>
    <col min="14849" max="14849" width="2" customWidth="1"/>
    <col min="14850" max="14850" width="11.625" customWidth="1"/>
    <col min="14851" max="14851" width="1.125" customWidth="1"/>
    <col min="14852" max="14852" width="10.625" customWidth="1"/>
    <col min="14853" max="14853" width="1.5" customWidth="1"/>
    <col min="14854" max="14854" width="10.625" customWidth="1"/>
    <col min="14855" max="14855" width="1.625" customWidth="1"/>
    <col min="14856" max="14856" width="16.625" customWidth="1"/>
    <col min="14857" max="14857" width="1.5" customWidth="1"/>
    <col min="15104" max="15104" width="26.5" customWidth="1"/>
    <col min="15105" max="15105" width="2" customWidth="1"/>
    <col min="15106" max="15106" width="11.625" customWidth="1"/>
    <col min="15107" max="15107" width="1.125" customWidth="1"/>
    <col min="15108" max="15108" width="10.625" customWidth="1"/>
    <col min="15109" max="15109" width="1.5" customWidth="1"/>
    <col min="15110" max="15110" width="10.625" customWidth="1"/>
    <col min="15111" max="15111" width="1.625" customWidth="1"/>
    <col min="15112" max="15112" width="16.625" customWidth="1"/>
    <col min="15113" max="15113" width="1.5" customWidth="1"/>
    <col min="15360" max="15360" width="26.5" customWidth="1"/>
    <col min="15361" max="15361" width="2" customWidth="1"/>
    <col min="15362" max="15362" width="11.625" customWidth="1"/>
    <col min="15363" max="15363" width="1.125" customWidth="1"/>
    <col min="15364" max="15364" width="10.625" customWidth="1"/>
    <col min="15365" max="15365" width="1.5" customWidth="1"/>
    <col min="15366" max="15366" width="10.625" customWidth="1"/>
    <col min="15367" max="15367" width="1.625" customWidth="1"/>
    <col min="15368" max="15368" width="16.625" customWidth="1"/>
    <col min="15369" max="15369" width="1.5" customWidth="1"/>
    <col min="15616" max="15616" width="26.5" customWidth="1"/>
    <col min="15617" max="15617" width="2" customWidth="1"/>
    <col min="15618" max="15618" width="11.625" customWidth="1"/>
    <col min="15619" max="15619" width="1.125" customWidth="1"/>
    <col min="15620" max="15620" width="10.625" customWidth="1"/>
    <col min="15621" max="15621" width="1.5" customWidth="1"/>
    <col min="15622" max="15622" width="10.625" customWidth="1"/>
    <col min="15623" max="15623" width="1.625" customWidth="1"/>
    <col min="15624" max="15624" width="16.625" customWidth="1"/>
    <col min="15625" max="15625" width="1.5" customWidth="1"/>
    <col min="15872" max="15872" width="26.5" customWidth="1"/>
    <col min="15873" max="15873" width="2" customWidth="1"/>
    <col min="15874" max="15874" width="11.625" customWidth="1"/>
    <col min="15875" max="15875" width="1.125" customWidth="1"/>
    <col min="15876" max="15876" width="10.625" customWidth="1"/>
    <col min="15877" max="15877" width="1.5" customWidth="1"/>
    <col min="15878" max="15878" width="10.625" customWidth="1"/>
    <col min="15879" max="15879" width="1.625" customWidth="1"/>
    <col min="15880" max="15880" width="16.625" customWidth="1"/>
    <col min="15881" max="15881" width="1.5" customWidth="1"/>
    <col min="16128" max="16128" width="26.5" customWidth="1"/>
    <col min="16129" max="16129" width="2" customWidth="1"/>
    <col min="16130" max="16130" width="11.625" customWidth="1"/>
    <col min="16131" max="16131" width="1.125" customWidth="1"/>
    <col min="16132" max="16132" width="10.625" customWidth="1"/>
    <col min="16133" max="16133" width="1.5" customWidth="1"/>
    <col min="16134" max="16134" width="10.625" customWidth="1"/>
    <col min="16135" max="16135" width="1.625" customWidth="1"/>
    <col min="16136" max="16136" width="16.625" customWidth="1"/>
    <col min="16137" max="16137" width="1.5" customWidth="1"/>
  </cols>
  <sheetData>
    <row r="1" spans="1:20" ht="21.75" customHeight="1" x14ac:dyDescent="0.25">
      <c r="A1" s="93" t="s">
        <v>0</v>
      </c>
      <c r="B1" s="22"/>
      <c r="C1" s="22"/>
      <c r="D1" s="22"/>
      <c r="E1" s="87"/>
      <c r="F1" s="22"/>
      <c r="G1" s="73"/>
      <c r="H1" s="22"/>
      <c r="I1" s="65"/>
      <c r="J1" s="22"/>
      <c r="K1" s="22"/>
      <c r="L1" s="22"/>
      <c r="M1" s="22"/>
      <c r="N1" s="22"/>
      <c r="O1" s="22"/>
      <c r="P1" s="22"/>
    </row>
    <row r="2" spans="1:20" ht="21" customHeight="1" x14ac:dyDescent="0.25">
      <c r="A2" s="88" t="s">
        <v>85</v>
      </c>
      <c r="B2" s="22"/>
      <c r="C2" s="22"/>
      <c r="D2" s="22"/>
      <c r="E2" s="89">
        <v>400</v>
      </c>
      <c r="F2" s="22"/>
      <c r="G2" s="243"/>
      <c r="H2" s="243"/>
      <c r="I2" s="243"/>
      <c r="J2" s="22"/>
      <c r="K2" s="100"/>
      <c r="L2" s="100"/>
      <c r="M2" s="100"/>
      <c r="N2" s="90"/>
      <c r="O2" s="100"/>
      <c r="P2" s="90"/>
    </row>
    <row r="3" spans="1:20" ht="46.9" customHeight="1" x14ac:dyDescent="0.3">
      <c r="A3" s="244" t="s">
        <v>218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91"/>
      <c r="P3" s="91"/>
    </row>
    <row r="4" spans="1:20" x14ac:dyDescent="0.25">
      <c r="A4" s="111"/>
      <c r="B4" s="111"/>
      <c r="C4" s="111"/>
      <c r="D4" s="111"/>
      <c r="E4" s="111"/>
      <c r="F4" s="111"/>
      <c r="G4" s="111"/>
      <c r="H4" s="111"/>
      <c r="I4" s="111" t="s">
        <v>151</v>
      </c>
      <c r="J4" s="111"/>
      <c r="K4" s="111" t="s">
        <v>151</v>
      </c>
      <c r="L4" s="111"/>
      <c r="M4" s="111" t="s">
        <v>151</v>
      </c>
      <c r="N4" s="111"/>
      <c r="O4" s="111" t="s">
        <v>151</v>
      </c>
      <c r="P4" s="111"/>
    </row>
    <row r="5" spans="1:20" x14ac:dyDescent="0.25">
      <c r="A5" s="117"/>
      <c r="B5" s="117"/>
      <c r="C5" s="117" t="s">
        <v>35</v>
      </c>
      <c r="D5" s="117"/>
      <c r="E5" s="117" t="s">
        <v>1</v>
      </c>
      <c r="F5" s="117"/>
      <c r="G5" s="117" t="s">
        <v>3</v>
      </c>
      <c r="H5" s="117"/>
      <c r="I5" s="117" t="s">
        <v>4</v>
      </c>
      <c r="J5" s="117"/>
      <c r="K5" s="117" t="s">
        <v>4</v>
      </c>
      <c r="L5" s="117"/>
      <c r="M5" s="117" t="s">
        <v>4</v>
      </c>
      <c r="N5" s="117"/>
      <c r="O5" s="117" t="s">
        <v>4</v>
      </c>
      <c r="P5" s="117"/>
    </row>
    <row r="6" spans="1:20" x14ac:dyDescent="0.25">
      <c r="A6" s="114"/>
      <c r="B6" s="114"/>
      <c r="C6" s="114" t="s">
        <v>36</v>
      </c>
      <c r="D6" s="114"/>
      <c r="E6" s="114" t="s">
        <v>84</v>
      </c>
      <c r="F6" s="114"/>
      <c r="G6" s="114"/>
      <c r="H6" s="114"/>
      <c r="I6" s="114" t="s">
        <v>114</v>
      </c>
      <c r="J6" s="114"/>
      <c r="K6" s="114" t="s">
        <v>195</v>
      </c>
      <c r="L6" s="114"/>
      <c r="M6" s="114" t="s">
        <v>152</v>
      </c>
      <c r="N6" s="114"/>
      <c r="O6" s="114" t="s">
        <v>153</v>
      </c>
      <c r="P6" s="114"/>
    </row>
    <row r="7" spans="1:20" x14ac:dyDescent="0.25">
      <c r="A7" s="118"/>
      <c r="B7" s="118"/>
      <c r="C7" s="118"/>
      <c r="D7" s="118"/>
      <c r="E7" s="118"/>
      <c r="F7" s="118"/>
      <c r="G7" s="119"/>
      <c r="H7" s="118"/>
      <c r="I7" s="120"/>
      <c r="J7" s="118"/>
      <c r="K7" s="121"/>
      <c r="L7" s="121"/>
      <c r="M7" s="122"/>
      <c r="N7" s="118"/>
      <c r="O7" s="122"/>
      <c r="P7" s="118"/>
    </row>
    <row r="8" spans="1:20" x14ac:dyDescent="0.25">
      <c r="A8" s="123" t="s">
        <v>5</v>
      </c>
      <c r="B8" s="124"/>
      <c r="C8" s="124"/>
      <c r="D8" s="124"/>
      <c r="E8" s="124"/>
      <c r="F8" s="124"/>
      <c r="G8" s="125"/>
      <c r="H8" s="124"/>
      <c r="I8" s="125"/>
      <c r="J8" s="124"/>
      <c r="K8" s="126">
        <f>M8/days</f>
        <v>3.9726027397260273</v>
      </c>
      <c r="L8" s="124"/>
      <c r="M8" s="127">
        <v>1450</v>
      </c>
      <c r="N8" s="128"/>
      <c r="O8" s="129">
        <f>M8*Head</f>
        <v>580000</v>
      </c>
      <c r="P8" s="128"/>
    </row>
    <row r="9" spans="1:20" x14ac:dyDescent="0.25">
      <c r="A9" s="130" t="s">
        <v>30</v>
      </c>
      <c r="B9" s="124"/>
      <c r="C9" s="131">
        <v>365</v>
      </c>
      <c r="D9" s="124"/>
      <c r="E9" s="132">
        <v>0</v>
      </c>
      <c r="F9" s="124"/>
      <c r="G9" s="133" t="s">
        <v>17</v>
      </c>
      <c r="H9" s="124"/>
      <c r="I9" s="83">
        <v>1450</v>
      </c>
      <c r="J9" s="124"/>
      <c r="K9" s="134">
        <f>M9/days</f>
        <v>3.9726027397260273</v>
      </c>
      <c r="L9" s="124"/>
      <c r="M9" s="135">
        <v>1450</v>
      </c>
      <c r="N9" s="124"/>
      <c r="O9" s="135">
        <f>M9*Head</f>
        <v>580000</v>
      </c>
      <c r="P9" s="124"/>
    </row>
    <row r="10" spans="1:20" x14ac:dyDescent="0.25">
      <c r="A10" s="124"/>
      <c r="B10" s="124"/>
      <c r="C10" s="124"/>
      <c r="D10" s="124"/>
      <c r="E10" s="124"/>
      <c r="F10" s="124"/>
      <c r="G10" s="125"/>
      <c r="H10" s="124"/>
      <c r="I10" s="136"/>
      <c r="J10" s="124"/>
      <c r="K10" s="121"/>
      <c r="L10" s="124"/>
      <c r="M10" s="121"/>
      <c r="N10" s="124"/>
      <c r="O10" s="121"/>
      <c r="P10" s="124"/>
    </row>
    <row r="11" spans="1:20" x14ac:dyDescent="0.25">
      <c r="A11" s="137" t="s">
        <v>8</v>
      </c>
      <c r="B11" s="124"/>
      <c r="C11" s="124"/>
      <c r="D11" s="124"/>
      <c r="E11" s="124"/>
      <c r="F11" s="124"/>
      <c r="G11" s="125"/>
      <c r="H11" s="124"/>
      <c r="I11" s="136"/>
      <c r="J11" s="124"/>
      <c r="K11" s="121"/>
      <c r="L11" s="124"/>
      <c r="M11" s="121"/>
      <c r="N11" s="124"/>
      <c r="O11" s="121"/>
      <c r="P11" s="124"/>
    </row>
    <row r="12" spans="1:20" s="39" customFormat="1" x14ac:dyDescent="0.25">
      <c r="A12" s="138" t="s">
        <v>83</v>
      </c>
      <c r="B12" s="139"/>
      <c r="C12" s="131">
        <v>1</v>
      </c>
      <c r="D12" s="139"/>
      <c r="E12" s="139"/>
      <c r="F12" s="139"/>
      <c r="G12" s="140"/>
      <c r="H12" s="139"/>
      <c r="I12" s="102">
        <v>150</v>
      </c>
      <c r="J12" s="139"/>
      <c r="K12" s="121">
        <f>I12/days</f>
        <v>0.41095890410958902</v>
      </c>
      <c r="L12" s="139"/>
      <c r="M12" s="135">
        <f>I12</f>
        <v>150</v>
      </c>
      <c r="N12" s="139"/>
      <c r="O12" s="121">
        <f>M12*Head</f>
        <v>60000</v>
      </c>
      <c r="P12" s="139"/>
    </row>
    <row r="13" spans="1:20" x14ac:dyDescent="0.25">
      <c r="A13" s="124"/>
      <c r="B13" s="124"/>
      <c r="C13" s="124"/>
      <c r="D13" s="124"/>
      <c r="E13" s="124"/>
      <c r="F13" s="124"/>
      <c r="G13" s="125"/>
      <c r="H13" s="124"/>
      <c r="I13" s="136"/>
      <c r="J13" s="124"/>
      <c r="K13" s="121"/>
      <c r="L13" s="124"/>
      <c r="M13" s="135"/>
      <c r="N13" s="124"/>
      <c r="O13" s="121"/>
      <c r="P13" s="124"/>
    </row>
    <row r="14" spans="1:20" x14ac:dyDescent="0.25">
      <c r="A14" s="141" t="s">
        <v>20</v>
      </c>
      <c r="B14" s="124"/>
      <c r="C14" s="124"/>
      <c r="D14" s="124"/>
      <c r="E14" s="124"/>
      <c r="F14" s="124"/>
      <c r="G14" s="125"/>
      <c r="H14" s="124"/>
      <c r="I14" s="136"/>
      <c r="J14" s="124"/>
      <c r="K14" s="126"/>
      <c r="L14" s="142"/>
      <c r="M14" s="143"/>
      <c r="N14" s="128"/>
      <c r="O14" s="143"/>
      <c r="P14" s="128"/>
    </row>
    <row r="15" spans="1:20" x14ac:dyDescent="0.25">
      <c r="A15" s="141" t="s">
        <v>27</v>
      </c>
      <c r="B15" s="124"/>
      <c r="C15" s="131">
        <v>1</v>
      </c>
      <c r="D15" s="124"/>
      <c r="E15" s="144"/>
      <c r="F15" s="124"/>
      <c r="G15" s="125"/>
      <c r="H15" s="124"/>
      <c r="I15" s="144"/>
      <c r="J15" s="124"/>
      <c r="K15" s="126">
        <f>SUM(K16:K17)</f>
        <v>5.3999999999999995</v>
      </c>
      <c r="L15" s="142"/>
      <c r="M15" s="145">
        <f>K15*C15</f>
        <v>5.3999999999999995</v>
      </c>
      <c r="N15" s="146"/>
      <c r="O15" s="127">
        <f>M15*Head</f>
        <v>2160</v>
      </c>
      <c r="P15" s="128"/>
      <c r="Q15" s="103">
        <f>C15/365</f>
        <v>2.7397260273972603E-3</v>
      </c>
      <c r="R15" s="86">
        <f>$Q$19*K15</f>
        <v>0.87287671232876707</v>
      </c>
      <c r="T15" s="86">
        <f>$Q$19*M15</f>
        <v>0.87287671232876707</v>
      </c>
    </row>
    <row r="16" spans="1:20" x14ac:dyDescent="0.25">
      <c r="A16" s="62" t="s">
        <v>22</v>
      </c>
      <c r="B16" s="124"/>
      <c r="C16" s="124"/>
      <c r="D16" s="124"/>
      <c r="E16" s="132">
        <v>0.18</v>
      </c>
      <c r="F16" s="124"/>
      <c r="G16" s="133" t="s">
        <v>6</v>
      </c>
      <c r="H16" s="124">
        <v>9</v>
      </c>
      <c r="I16" s="102">
        <v>30</v>
      </c>
      <c r="J16" s="124"/>
      <c r="K16" s="134">
        <f>I16*E16</f>
        <v>5.3999999999999995</v>
      </c>
      <c r="L16" s="124"/>
      <c r="M16" s="135">
        <f>K16/$C$15</f>
        <v>5.3999999999999995</v>
      </c>
      <c r="N16" s="124"/>
      <c r="O16" s="147">
        <f>M16*Head</f>
        <v>2160</v>
      </c>
      <c r="P16" s="124"/>
    </row>
    <row r="17" spans="1:22" x14ac:dyDescent="0.25">
      <c r="A17" s="62"/>
      <c r="B17" s="124"/>
      <c r="C17" s="124"/>
      <c r="D17" s="124"/>
      <c r="E17" s="132"/>
      <c r="F17" s="124"/>
      <c r="G17" s="133"/>
      <c r="H17" s="124"/>
      <c r="I17" s="102"/>
      <c r="J17" s="124"/>
      <c r="K17" s="134">
        <f>I17*E17</f>
        <v>0</v>
      </c>
      <c r="L17" s="124"/>
      <c r="M17" s="135">
        <f>K17/$C$15</f>
        <v>0</v>
      </c>
      <c r="N17" s="124"/>
      <c r="O17" s="147">
        <f>M17*Head</f>
        <v>0</v>
      </c>
      <c r="P17" s="124"/>
    </row>
    <row r="18" spans="1:22" x14ac:dyDescent="0.25">
      <c r="A18" s="124"/>
      <c r="B18" s="124"/>
      <c r="C18" s="124"/>
      <c r="D18" s="124"/>
      <c r="E18" s="124"/>
      <c r="F18" s="124"/>
      <c r="G18" s="125"/>
      <c r="H18" s="124"/>
      <c r="I18" s="136"/>
      <c r="J18" s="124"/>
      <c r="K18" s="121"/>
      <c r="L18" s="124"/>
      <c r="M18" s="121"/>
      <c r="N18" s="124"/>
      <c r="O18" s="121"/>
      <c r="P18" s="124"/>
    </row>
    <row r="19" spans="1:22" x14ac:dyDescent="0.25">
      <c r="A19" s="141" t="s">
        <v>25</v>
      </c>
      <c r="B19" s="124"/>
      <c r="C19" s="131">
        <v>59</v>
      </c>
      <c r="D19" s="124"/>
      <c r="E19" s="124"/>
      <c r="F19" s="124"/>
      <c r="G19" s="125"/>
      <c r="H19" s="124"/>
      <c r="I19" s="136"/>
      <c r="J19" s="124"/>
      <c r="K19" s="126">
        <f>SUM(K20:K22)</f>
        <v>1.325</v>
      </c>
      <c r="L19" s="142"/>
      <c r="M19" s="126">
        <f>SUM(M20:M22)</f>
        <v>78.174999999999997</v>
      </c>
      <c r="N19" s="146"/>
      <c r="O19" s="126">
        <f>SUM(O20:O22)</f>
        <v>31270</v>
      </c>
      <c r="P19" s="128"/>
      <c r="Q19" s="96">
        <f>C19/365</f>
        <v>0.16164383561643836</v>
      </c>
      <c r="R19" s="86">
        <f>$Q$19*K19</f>
        <v>0.21417808219178081</v>
      </c>
      <c r="T19" s="86">
        <f>$Q$19*M19</f>
        <v>12.636506849315069</v>
      </c>
      <c r="V19" s="86">
        <f>$Q$19*O19</f>
        <v>5054.6027397260277</v>
      </c>
    </row>
    <row r="20" spans="1:22" x14ac:dyDescent="0.25">
      <c r="A20" s="62" t="s">
        <v>19</v>
      </c>
      <c r="B20" s="124"/>
      <c r="C20" s="124"/>
      <c r="D20" s="124"/>
      <c r="E20" s="132">
        <v>9.5000000000000001E-2</v>
      </c>
      <c r="F20" s="124"/>
      <c r="G20" s="133" t="s">
        <v>6</v>
      </c>
      <c r="H20" s="124">
        <v>9</v>
      </c>
      <c r="I20" s="102">
        <f>HM_C</f>
        <v>4</v>
      </c>
      <c r="J20" s="124"/>
      <c r="K20" s="134">
        <f>I20*E20</f>
        <v>0.38</v>
      </c>
      <c r="L20" s="124"/>
      <c r="M20" s="135">
        <f>K20*$C$19</f>
        <v>22.42</v>
      </c>
      <c r="N20" s="124"/>
      <c r="O20" s="148">
        <f>M20*Head</f>
        <v>8968</v>
      </c>
      <c r="P20" s="124"/>
    </row>
    <row r="21" spans="1:22" x14ac:dyDescent="0.25">
      <c r="A21" s="62" t="s">
        <v>18</v>
      </c>
      <c r="B21" s="124"/>
      <c r="C21" s="124"/>
      <c r="D21" s="124"/>
      <c r="E21" s="132">
        <v>0.25</v>
      </c>
      <c r="F21" s="124"/>
      <c r="G21" s="133" t="s">
        <v>21</v>
      </c>
      <c r="H21" s="124"/>
      <c r="I21" s="102">
        <f>NR_L</f>
        <v>1.74</v>
      </c>
      <c r="J21" s="124"/>
      <c r="K21" s="134">
        <f>I21*E21</f>
        <v>0.435</v>
      </c>
      <c r="L21" s="124"/>
      <c r="M21" s="135">
        <f>K21*$C$19</f>
        <v>25.664999999999999</v>
      </c>
      <c r="N21" s="124"/>
      <c r="O21" s="148">
        <f>M21*Head</f>
        <v>10266</v>
      </c>
      <c r="P21" s="124"/>
    </row>
    <row r="22" spans="1:22" x14ac:dyDescent="0.25">
      <c r="A22" s="62" t="s">
        <v>28</v>
      </c>
      <c r="B22" s="124"/>
      <c r="C22" s="124"/>
      <c r="D22" s="124"/>
      <c r="E22" s="132">
        <v>3</v>
      </c>
      <c r="F22" s="124"/>
      <c r="G22" s="133" t="s">
        <v>21</v>
      </c>
      <c r="H22" s="124"/>
      <c r="I22" s="102">
        <v>0.17</v>
      </c>
      <c r="J22" s="124"/>
      <c r="K22" s="134">
        <f>I22*E22</f>
        <v>0.51</v>
      </c>
      <c r="L22" s="124"/>
      <c r="M22" s="135">
        <f>K22*$C$19</f>
        <v>30.09</v>
      </c>
      <c r="N22" s="124"/>
      <c r="O22" s="148">
        <f>M22*Head</f>
        <v>12036</v>
      </c>
      <c r="P22" s="124"/>
    </row>
    <row r="23" spans="1:22" x14ac:dyDescent="0.25">
      <c r="A23" s="62"/>
      <c r="B23" s="124"/>
      <c r="C23" s="124"/>
      <c r="D23" s="124"/>
      <c r="E23" s="132"/>
      <c r="F23" s="124"/>
      <c r="G23" s="133"/>
      <c r="H23" s="124"/>
      <c r="I23" s="102"/>
      <c r="J23" s="124"/>
      <c r="K23" s="134"/>
      <c r="L23" s="124"/>
      <c r="M23" s="135"/>
      <c r="N23" s="124"/>
      <c r="O23" s="135"/>
      <c r="P23" s="124"/>
    </row>
    <row r="24" spans="1:22" x14ac:dyDescent="0.25">
      <c r="A24" s="124"/>
      <c r="B24" s="124"/>
      <c r="C24" s="124"/>
      <c r="D24" s="124"/>
      <c r="E24" s="124"/>
      <c r="F24" s="124"/>
      <c r="G24" s="125"/>
      <c r="H24" s="124"/>
      <c r="I24" s="136"/>
      <c r="J24" s="124"/>
      <c r="K24" s="121"/>
      <c r="L24" s="124"/>
      <c r="M24" s="121"/>
      <c r="N24" s="124"/>
      <c r="O24" s="121"/>
      <c r="P24" s="124"/>
      <c r="Q24" s="86">
        <f>M25/60</f>
        <v>3.2241099999999991</v>
      </c>
    </row>
    <row r="25" spans="1:22" x14ac:dyDescent="0.25">
      <c r="A25" s="141" t="s">
        <v>24</v>
      </c>
      <c r="B25" s="124"/>
      <c r="C25" s="131">
        <v>60</v>
      </c>
      <c r="D25" s="124"/>
      <c r="E25" s="124"/>
      <c r="F25" s="124"/>
      <c r="G25" s="125"/>
      <c r="H25" s="124"/>
      <c r="I25" s="136"/>
      <c r="J25" s="124"/>
      <c r="K25" s="126">
        <f>SUM(K26:K29)</f>
        <v>3.2241099999999996</v>
      </c>
      <c r="L25" s="142"/>
      <c r="M25" s="126">
        <f>SUM(M26:M29)</f>
        <v>193.44659999999996</v>
      </c>
      <c r="N25" s="146"/>
      <c r="O25" s="126">
        <f>SUM(O26:O29)</f>
        <v>77378.639999999985</v>
      </c>
      <c r="P25" s="128"/>
      <c r="Q25" s="96">
        <f>C25/365</f>
        <v>0.16438356164383561</v>
      </c>
      <c r="R25" s="86">
        <f>$Q$25*K25</f>
        <v>0.52999068493150681</v>
      </c>
      <c r="T25" s="86">
        <f>$Q$25*M25</f>
        <v>31.799441095890401</v>
      </c>
      <c r="V25" s="86">
        <f>$Q$25*O25</f>
        <v>12719.776438356161</v>
      </c>
    </row>
    <row r="26" spans="1:22" x14ac:dyDescent="0.25">
      <c r="A26" s="62" t="s">
        <v>28</v>
      </c>
      <c r="B26" s="124"/>
      <c r="C26" s="124"/>
      <c r="D26" s="124"/>
      <c r="E26" s="132">
        <v>0.16</v>
      </c>
      <c r="F26" s="124"/>
      <c r="G26" s="133" t="s">
        <v>6</v>
      </c>
      <c r="H26" s="124">
        <v>9</v>
      </c>
      <c r="I26" s="102">
        <v>17.2</v>
      </c>
      <c r="J26" s="124"/>
      <c r="K26" s="134">
        <f>I26*E26</f>
        <v>2.7519999999999998</v>
      </c>
      <c r="L26" s="124"/>
      <c r="M26" s="135">
        <f>I26*E26*$C$25</f>
        <v>165.11999999999998</v>
      </c>
      <c r="N26" s="124"/>
      <c r="O26" s="148">
        <f>M26*Head</f>
        <v>66047.999999999985</v>
      </c>
      <c r="P26" s="124"/>
    </row>
    <row r="27" spans="1:22" x14ac:dyDescent="0.25">
      <c r="A27" s="62" t="s">
        <v>23</v>
      </c>
      <c r="B27" s="124"/>
      <c r="C27" s="124"/>
      <c r="D27" s="124"/>
      <c r="E27" s="132">
        <v>1.01E-2</v>
      </c>
      <c r="F27" s="124"/>
      <c r="G27" s="133" t="s">
        <v>6</v>
      </c>
      <c r="H27" s="124"/>
      <c r="I27" s="102">
        <v>11.1</v>
      </c>
      <c r="J27" s="124"/>
      <c r="K27" s="134">
        <f>I27*E27</f>
        <v>0.11210999999999999</v>
      </c>
      <c r="L27" s="124"/>
      <c r="M27" s="135">
        <f>I27*E27*$C$25</f>
        <v>6.7265999999999995</v>
      </c>
      <c r="N27" s="124"/>
      <c r="O27" s="148">
        <f>M27*Head</f>
        <v>2690.64</v>
      </c>
      <c r="P27" s="124"/>
    </row>
    <row r="28" spans="1:22" x14ac:dyDescent="0.25">
      <c r="A28" s="62" t="s">
        <v>158</v>
      </c>
      <c r="B28" s="124"/>
      <c r="C28" s="124"/>
      <c r="D28" s="124"/>
      <c r="E28" s="132">
        <v>1</v>
      </c>
      <c r="F28" s="124"/>
      <c r="G28" s="133" t="s">
        <v>38</v>
      </c>
      <c r="H28" s="124"/>
      <c r="I28" s="102">
        <v>0.36</v>
      </c>
      <c r="J28" s="124"/>
      <c r="K28" s="134">
        <f>I28*E28</f>
        <v>0.36</v>
      </c>
      <c r="L28" s="124"/>
      <c r="M28" s="135">
        <f>I28*E28*$C$25</f>
        <v>21.599999999999998</v>
      </c>
      <c r="N28" s="124"/>
      <c r="O28" s="148">
        <f>M28*Head</f>
        <v>8640</v>
      </c>
      <c r="P28" s="124"/>
    </row>
    <row r="29" spans="1:22" x14ac:dyDescent="0.25">
      <c r="A29" s="124"/>
      <c r="B29" s="124"/>
      <c r="C29" s="124"/>
      <c r="D29" s="124"/>
      <c r="E29" s="124"/>
      <c r="F29" s="124"/>
      <c r="G29" s="125"/>
      <c r="H29" s="124"/>
      <c r="I29" s="136"/>
      <c r="J29" s="124"/>
      <c r="K29" s="121"/>
      <c r="L29" s="124"/>
      <c r="M29" s="121"/>
      <c r="N29" s="124"/>
      <c r="O29" s="148"/>
      <c r="P29" s="124"/>
    </row>
    <row r="30" spans="1:22" x14ac:dyDescent="0.25">
      <c r="A30" s="141" t="s">
        <v>26</v>
      </c>
      <c r="B30" s="124"/>
      <c r="C30" s="131">
        <v>60</v>
      </c>
      <c r="D30" s="124"/>
      <c r="E30" s="124"/>
      <c r="F30" s="124"/>
      <c r="G30" s="125"/>
      <c r="H30" s="124"/>
      <c r="I30" s="136"/>
      <c r="J30" s="124"/>
      <c r="K30" s="126">
        <f>SUM(K31:K34)</f>
        <v>0.95062499999999994</v>
      </c>
      <c r="L30" s="142"/>
      <c r="M30" s="126">
        <f>SUM(M31:M34)</f>
        <v>69.712500000000006</v>
      </c>
      <c r="N30" s="146"/>
      <c r="O30" s="127">
        <f>SUM(O31:O34)</f>
        <v>27885</v>
      </c>
      <c r="P30" s="128"/>
      <c r="Q30" s="96">
        <f>C30/365</f>
        <v>0.16438356164383561</v>
      </c>
      <c r="R30" s="86">
        <f>$Q$30*K30</f>
        <v>0.15626712328767123</v>
      </c>
      <c r="T30" s="86">
        <f>$Q$30*M30</f>
        <v>11.45958904109589</v>
      </c>
      <c r="V30" s="86">
        <f>$Q$30*O30</f>
        <v>4583.8356164383558</v>
      </c>
    </row>
    <row r="31" spans="1:22" x14ac:dyDescent="0.25">
      <c r="A31" s="62" t="s">
        <v>31</v>
      </c>
      <c r="B31" s="124"/>
      <c r="C31" s="124"/>
      <c r="D31" s="124"/>
      <c r="E31" s="132">
        <v>6.25</v>
      </c>
      <c r="F31" s="124"/>
      <c r="G31" s="133" t="s">
        <v>21</v>
      </c>
      <c r="H31" s="124">
        <v>9</v>
      </c>
      <c r="I31" s="102">
        <f>cs_l</f>
        <v>0.03</v>
      </c>
      <c r="J31" s="124"/>
      <c r="K31" s="134">
        <f>I31*E31</f>
        <v>0.1875</v>
      </c>
      <c r="L31" s="124"/>
      <c r="M31" s="135">
        <f>I31*E31*$C$30</f>
        <v>11.25</v>
      </c>
      <c r="N31" s="124"/>
      <c r="O31" s="148">
        <f>M31*Head</f>
        <v>4500</v>
      </c>
      <c r="P31" s="124"/>
    </row>
    <row r="32" spans="1:22" x14ac:dyDescent="0.25">
      <c r="A32" s="62" t="s">
        <v>32</v>
      </c>
      <c r="B32" s="124"/>
      <c r="C32" s="124" t="s">
        <v>163</v>
      </c>
      <c r="D32" s="124"/>
      <c r="E32" s="132">
        <v>2.5</v>
      </c>
      <c r="F32" s="124"/>
      <c r="G32" s="133" t="s">
        <v>21</v>
      </c>
      <c r="H32" s="124"/>
      <c r="I32" s="102">
        <f>ear_l</f>
        <v>7.0000000000000007E-2</v>
      </c>
      <c r="J32" s="124"/>
      <c r="K32" s="134">
        <f>I32*E32</f>
        <v>0.17500000000000002</v>
      </c>
      <c r="L32" s="124"/>
      <c r="M32" s="135">
        <f>I32*E32*$C$30</f>
        <v>10.500000000000002</v>
      </c>
      <c r="N32" s="124"/>
      <c r="O32" s="148">
        <f>M32*Head</f>
        <v>4200.0000000000009</v>
      </c>
      <c r="P32" s="124"/>
    </row>
    <row r="33" spans="1:22" x14ac:dyDescent="0.25">
      <c r="A33" s="62" t="s">
        <v>23</v>
      </c>
      <c r="B33" s="124"/>
      <c r="C33" s="124" t="s">
        <v>164</v>
      </c>
      <c r="D33" s="124"/>
      <c r="E33" s="132">
        <v>6.25</v>
      </c>
      <c r="F33" s="124"/>
      <c r="G33" s="133" t="s">
        <v>21</v>
      </c>
      <c r="H33" s="124"/>
      <c r="I33" s="102">
        <f>ALFG_L</f>
        <v>0.111</v>
      </c>
      <c r="J33" s="124"/>
      <c r="K33" s="134">
        <f>I33*E33</f>
        <v>0.69374999999999998</v>
      </c>
      <c r="L33" s="124"/>
      <c r="M33" s="135">
        <f>I33*E33*$C$30</f>
        <v>41.625</v>
      </c>
      <c r="N33" s="124"/>
      <c r="O33" s="148">
        <f>M33*Head</f>
        <v>16650</v>
      </c>
      <c r="P33" s="124"/>
    </row>
    <row r="34" spans="1:22" x14ac:dyDescent="0.25">
      <c r="A34" s="62" t="s">
        <v>194</v>
      </c>
      <c r="B34" s="124"/>
      <c r="C34" s="124" t="s">
        <v>164</v>
      </c>
      <c r="D34" s="124"/>
      <c r="E34" s="149">
        <v>0.1</v>
      </c>
      <c r="F34" s="124"/>
      <c r="G34" s="150" t="s">
        <v>52</v>
      </c>
      <c r="H34" s="124"/>
      <c r="I34" s="151">
        <f>SUM(K31:K33)</f>
        <v>1.0562499999999999</v>
      </c>
      <c r="J34" s="124"/>
      <c r="K34" s="134">
        <f>-I34*E34</f>
        <v>-0.105625</v>
      </c>
      <c r="L34" s="124"/>
      <c r="M34" s="135">
        <f>I34*E34*$C$30</f>
        <v>6.3374999999999995</v>
      </c>
      <c r="N34" s="124"/>
      <c r="O34" s="148">
        <f>M34*Head</f>
        <v>2535</v>
      </c>
      <c r="P34" s="124"/>
    </row>
    <row r="35" spans="1:22" x14ac:dyDescent="0.25">
      <c r="A35" s="124"/>
      <c r="B35" s="124"/>
      <c r="C35" s="124"/>
      <c r="D35" s="124"/>
      <c r="E35" s="124"/>
      <c r="F35" s="124"/>
      <c r="G35" s="125"/>
      <c r="H35" s="124"/>
      <c r="I35" s="136"/>
      <c r="J35" s="124"/>
      <c r="K35" s="121"/>
      <c r="L35" s="124"/>
      <c r="M35" s="121"/>
      <c r="N35" s="124"/>
      <c r="O35" s="121"/>
      <c r="P35" s="124"/>
    </row>
    <row r="36" spans="1:22" x14ac:dyDescent="0.25">
      <c r="A36" s="141" t="s">
        <v>207</v>
      </c>
      <c r="B36" s="124"/>
      <c r="C36" s="131">
        <v>185</v>
      </c>
      <c r="D36" s="124"/>
      <c r="E36" s="124"/>
      <c r="F36" s="124"/>
      <c r="G36" s="125"/>
      <c r="H36" s="124"/>
      <c r="I36" s="136"/>
      <c r="J36" s="124"/>
      <c r="K36" s="126">
        <f>SUM(K37:K40)</f>
        <v>1.8031000000000001</v>
      </c>
      <c r="L36" s="142"/>
      <c r="M36" s="126">
        <f>SUM(M37:M40)</f>
        <v>403.83649999999994</v>
      </c>
      <c r="N36" s="146"/>
      <c r="O36" s="126">
        <f>SUM(O37:O40)</f>
        <v>161534.6</v>
      </c>
      <c r="P36" s="128"/>
      <c r="Q36" s="96">
        <f>C36/365</f>
        <v>0.50684931506849318</v>
      </c>
      <c r="R36" s="86">
        <f>$Q$36*K36</f>
        <v>0.91390000000000016</v>
      </c>
      <c r="T36" s="86">
        <f>$Q$36*M36</f>
        <v>204.68425342465753</v>
      </c>
      <c r="V36" s="86">
        <f>$Q$36*O36</f>
        <v>81873.701369863018</v>
      </c>
    </row>
    <row r="37" spans="1:22" x14ac:dyDescent="0.25">
      <c r="A37" s="62" t="s">
        <v>31</v>
      </c>
      <c r="B37" s="124"/>
      <c r="C37" s="124"/>
      <c r="D37" s="124"/>
      <c r="E37" s="132">
        <v>30</v>
      </c>
      <c r="F37" s="124"/>
      <c r="G37" s="133" t="s">
        <v>21</v>
      </c>
      <c r="H37" s="124">
        <v>9</v>
      </c>
      <c r="I37" s="102">
        <f>cs_l</f>
        <v>0.03</v>
      </c>
      <c r="J37" s="124"/>
      <c r="K37" s="134">
        <f>I37*E37</f>
        <v>0.89999999999999991</v>
      </c>
      <c r="L37" s="124"/>
      <c r="M37" s="135">
        <f>I37*E37*$C$36</f>
        <v>166.49999999999997</v>
      </c>
      <c r="N37" s="124"/>
      <c r="O37" s="148">
        <f>M37*Head</f>
        <v>66599.999999999985</v>
      </c>
      <c r="P37" s="124"/>
    </row>
    <row r="38" spans="1:22" x14ac:dyDescent="0.25">
      <c r="A38" s="62" t="s">
        <v>23</v>
      </c>
      <c r="B38" s="124"/>
      <c r="C38" s="124"/>
      <c r="D38" s="124"/>
      <c r="E38" s="132">
        <v>9</v>
      </c>
      <c r="F38" s="124"/>
      <c r="G38" s="133" t="s">
        <v>21</v>
      </c>
      <c r="H38" s="124"/>
      <c r="I38" s="102">
        <f>ALFG_L</f>
        <v>0.111</v>
      </c>
      <c r="J38" s="124"/>
      <c r="K38" s="134">
        <f>I38*E38</f>
        <v>0.999</v>
      </c>
      <c r="L38" s="124"/>
      <c r="M38" s="135">
        <f>I38*E38*$C$36</f>
        <v>184.815</v>
      </c>
      <c r="N38" s="124"/>
      <c r="O38" s="148">
        <f>M38*Head</f>
        <v>73926</v>
      </c>
      <c r="P38" s="124"/>
    </row>
    <row r="39" spans="1:22" x14ac:dyDescent="0.25">
      <c r="A39" s="62" t="s">
        <v>29</v>
      </c>
      <c r="B39" s="124"/>
      <c r="C39" s="124"/>
      <c r="D39" s="124"/>
      <c r="E39" s="132">
        <v>0.2</v>
      </c>
      <c r="F39" s="124"/>
      <c r="G39" s="133" t="s">
        <v>21</v>
      </c>
      <c r="H39" s="124"/>
      <c r="I39" s="102">
        <f>hmin_l</f>
        <v>0.47</v>
      </c>
      <c r="J39" s="124"/>
      <c r="K39" s="134">
        <f>I39*E39</f>
        <v>9.4E-2</v>
      </c>
      <c r="L39" s="124"/>
      <c r="M39" s="135">
        <f>I39*E39*$C$36</f>
        <v>17.39</v>
      </c>
      <c r="N39" s="124"/>
      <c r="O39" s="148">
        <f>M39*Head</f>
        <v>6956</v>
      </c>
      <c r="P39" s="124"/>
    </row>
    <row r="40" spans="1:22" x14ac:dyDescent="0.25">
      <c r="A40" s="62" t="s">
        <v>194</v>
      </c>
      <c r="B40" s="124"/>
      <c r="C40" s="124" t="s">
        <v>164</v>
      </c>
      <c r="D40" s="124"/>
      <c r="E40" s="149">
        <v>0.1</v>
      </c>
      <c r="F40" s="124"/>
      <c r="G40" s="150" t="s">
        <v>52</v>
      </c>
      <c r="H40" s="124"/>
      <c r="I40" s="151">
        <f>SUM(K37:K38)</f>
        <v>1.899</v>
      </c>
      <c r="J40" s="124"/>
      <c r="K40" s="134">
        <f>-I40*E40</f>
        <v>-0.18990000000000001</v>
      </c>
      <c r="L40" s="124"/>
      <c r="M40" s="135">
        <f>I40*E40*$C$36</f>
        <v>35.131500000000003</v>
      </c>
      <c r="N40" s="124"/>
      <c r="O40" s="148">
        <f>M40*Head</f>
        <v>14052.6</v>
      </c>
      <c r="P40" s="124"/>
    </row>
    <row r="41" spans="1:22" x14ac:dyDescent="0.25">
      <c r="A41" s="124"/>
      <c r="B41" s="124"/>
      <c r="C41" s="124"/>
      <c r="D41" s="124"/>
      <c r="E41" s="124"/>
      <c r="F41" s="124"/>
      <c r="G41" s="125"/>
      <c r="H41" s="124"/>
      <c r="I41" s="136"/>
      <c r="J41" s="124"/>
      <c r="K41" s="121"/>
      <c r="L41" s="124"/>
      <c r="M41" s="121"/>
      <c r="N41" s="124"/>
      <c r="O41" s="148"/>
      <c r="P41" s="124"/>
    </row>
    <row r="42" spans="1:22" x14ac:dyDescent="0.25">
      <c r="A42" s="124" t="s">
        <v>155</v>
      </c>
      <c r="B42" s="124"/>
      <c r="C42" s="124"/>
      <c r="D42" s="124"/>
      <c r="E42" s="124"/>
      <c r="F42" s="124"/>
      <c r="G42" s="125"/>
      <c r="H42" s="124"/>
      <c r="I42" s="152" t="s">
        <v>171</v>
      </c>
      <c r="J42" s="153"/>
      <c r="K42" s="154">
        <f>R42</f>
        <v>2.6872126027397263</v>
      </c>
      <c r="L42" s="153"/>
      <c r="M42" s="154">
        <f>T42</f>
        <v>261.45266712328765</v>
      </c>
      <c r="N42" s="155"/>
      <c r="O42" s="154">
        <f>V42</f>
        <v>104231.91616438355</v>
      </c>
      <c r="P42" s="124"/>
      <c r="R42" s="86">
        <f>SUM(R4:R41)</f>
        <v>2.6872126027397263</v>
      </c>
      <c r="T42">
        <f>SUM(T4:T41)</f>
        <v>261.45266712328765</v>
      </c>
      <c r="V42">
        <f>SUM(V4:V41)</f>
        <v>104231.91616438355</v>
      </c>
    </row>
    <row r="43" spans="1:22" x14ac:dyDescent="0.25">
      <c r="A43" s="124"/>
      <c r="B43" s="124"/>
      <c r="C43" s="124"/>
      <c r="D43" s="124"/>
      <c r="E43" s="124"/>
      <c r="F43" s="124"/>
      <c r="G43" s="125"/>
      <c r="H43" s="124"/>
      <c r="I43" s="136"/>
      <c r="J43" s="124"/>
      <c r="K43" s="121"/>
      <c r="L43" s="124"/>
      <c r="M43" s="121"/>
      <c r="N43" s="124"/>
      <c r="O43" s="148"/>
      <c r="P43" s="124"/>
      <c r="R43" t="s">
        <v>170</v>
      </c>
    </row>
    <row r="44" spans="1:22" x14ac:dyDescent="0.25">
      <c r="A44" s="128" t="s">
        <v>91</v>
      </c>
      <c r="B44" s="124"/>
      <c r="C44" s="124"/>
      <c r="D44" s="124"/>
      <c r="E44" s="124"/>
      <c r="F44" s="124"/>
      <c r="G44" s="125"/>
      <c r="H44" s="124"/>
      <c r="I44" s="136"/>
      <c r="J44" s="124"/>
      <c r="K44" s="143">
        <f>M44/days</f>
        <v>8.7627305936073055E-2</v>
      </c>
      <c r="L44" s="124"/>
      <c r="M44" s="145">
        <f>SUM(M45:M55)</f>
        <v>31.983966666666664</v>
      </c>
      <c r="N44" s="146"/>
      <c r="O44" s="127">
        <f>SUM(O45:O55)</f>
        <v>12793.586666666666</v>
      </c>
      <c r="P44" s="124"/>
    </row>
    <row r="45" spans="1:22" x14ac:dyDescent="0.25">
      <c r="A45" s="62" t="s">
        <v>92</v>
      </c>
      <c r="B45" s="124"/>
      <c r="C45" s="124"/>
      <c r="D45" s="124"/>
      <c r="E45" s="132">
        <v>1</v>
      </c>
      <c r="F45" s="124"/>
      <c r="G45" s="133" t="s">
        <v>17</v>
      </c>
      <c r="H45" s="124"/>
      <c r="I45" s="102">
        <v>6</v>
      </c>
      <c r="J45" s="124"/>
      <c r="K45" s="121">
        <f>M45/days</f>
        <v>1.643835616438356E-2</v>
      </c>
      <c r="L45" s="124"/>
      <c r="M45" s="135">
        <f>I45*E45</f>
        <v>6</v>
      </c>
      <c r="N45" s="124"/>
      <c r="O45" s="148">
        <f t="shared" ref="O45:O55" si="0">M45*Head</f>
        <v>2400</v>
      </c>
      <c r="P45" s="124"/>
    </row>
    <row r="46" spans="1:22" x14ac:dyDescent="0.25">
      <c r="A46" s="62" t="s">
        <v>93</v>
      </c>
      <c r="B46" s="124"/>
      <c r="C46" s="124"/>
      <c r="D46" s="124"/>
      <c r="E46" s="132">
        <v>2</v>
      </c>
      <c r="F46" s="124"/>
      <c r="G46" s="133" t="s">
        <v>17</v>
      </c>
      <c r="H46" s="124"/>
      <c r="I46" s="102">
        <v>1.36</v>
      </c>
      <c r="J46" s="124"/>
      <c r="K46" s="121">
        <f t="shared" ref="K46:K55" si="1">M46/days</f>
        <v>7.4520547945205488E-3</v>
      </c>
      <c r="L46" s="124"/>
      <c r="M46" s="135">
        <f t="shared" ref="M46:M53" si="2">I46*E46</f>
        <v>2.72</v>
      </c>
      <c r="N46" s="124"/>
      <c r="O46" s="148">
        <f t="shared" si="0"/>
        <v>1088</v>
      </c>
      <c r="P46" s="124"/>
    </row>
    <row r="47" spans="1:22" x14ac:dyDescent="0.25">
      <c r="A47" s="62" t="s">
        <v>94</v>
      </c>
      <c r="B47" s="124"/>
      <c r="C47" s="124"/>
      <c r="D47" s="124"/>
      <c r="E47" s="132">
        <v>1</v>
      </c>
      <c r="F47" s="124"/>
      <c r="G47" s="133" t="s">
        <v>17</v>
      </c>
      <c r="H47" s="124"/>
      <c r="I47" s="102">
        <v>0.14000000000000001</v>
      </c>
      <c r="J47" s="124"/>
      <c r="K47" s="121">
        <f t="shared" si="1"/>
        <v>3.8356164383561648E-4</v>
      </c>
      <c r="L47" s="124"/>
      <c r="M47" s="135">
        <f t="shared" si="2"/>
        <v>0.14000000000000001</v>
      </c>
      <c r="N47" s="124"/>
      <c r="O47" s="148">
        <f t="shared" si="0"/>
        <v>56.000000000000007</v>
      </c>
      <c r="P47" s="124"/>
    </row>
    <row r="48" spans="1:22" x14ac:dyDescent="0.25">
      <c r="A48" s="62" t="s">
        <v>95</v>
      </c>
      <c r="B48" s="124"/>
      <c r="C48" s="124"/>
      <c r="D48" s="124"/>
      <c r="E48" s="132">
        <v>4</v>
      </c>
      <c r="F48" s="124"/>
      <c r="G48" s="133" t="s">
        <v>17</v>
      </c>
      <c r="H48" s="124"/>
      <c r="I48" s="102">
        <v>0.2646</v>
      </c>
      <c r="J48" s="124"/>
      <c r="K48" s="121">
        <f t="shared" si="1"/>
        <v>2.8997260273972603E-3</v>
      </c>
      <c r="L48" s="124"/>
      <c r="M48" s="135">
        <f t="shared" si="2"/>
        <v>1.0584</v>
      </c>
      <c r="N48" s="124"/>
      <c r="O48" s="148">
        <f t="shared" si="0"/>
        <v>423.36</v>
      </c>
      <c r="P48" s="124"/>
    </row>
    <row r="49" spans="1:22" x14ac:dyDescent="0.25">
      <c r="A49" s="62" t="s">
        <v>96</v>
      </c>
      <c r="B49" s="124"/>
      <c r="C49" s="124"/>
      <c r="D49" s="124"/>
      <c r="E49" s="132">
        <v>3</v>
      </c>
      <c r="F49" s="124"/>
      <c r="G49" s="133" t="s">
        <v>17</v>
      </c>
      <c r="H49" s="124"/>
      <c r="I49" s="102">
        <v>2.8380000000000001</v>
      </c>
      <c r="J49" s="124"/>
      <c r="K49" s="121">
        <f t="shared" si="1"/>
        <v>2.3326027397260272E-2</v>
      </c>
      <c r="L49" s="124"/>
      <c r="M49" s="135">
        <f t="shared" si="2"/>
        <v>8.5139999999999993</v>
      </c>
      <c r="N49" s="124"/>
      <c r="O49" s="148">
        <f t="shared" si="0"/>
        <v>3405.6</v>
      </c>
      <c r="P49" s="124"/>
    </row>
    <row r="50" spans="1:22" x14ac:dyDescent="0.25">
      <c r="A50" s="62" t="s">
        <v>97</v>
      </c>
      <c r="B50" s="124"/>
      <c r="C50" s="124"/>
      <c r="D50" s="124"/>
      <c r="E50" s="132">
        <v>1</v>
      </c>
      <c r="F50" s="124"/>
      <c r="G50" s="133" t="s">
        <v>17</v>
      </c>
      <c r="H50" s="124"/>
      <c r="I50" s="102">
        <f>109.14/50</f>
        <v>2.1827999999999999</v>
      </c>
      <c r="J50" s="124"/>
      <c r="K50" s="121">
        <f t="shared" si="1"/>
        <v>5.9802739726027392E-3</v>
      </c>
      <c r="L50" s="124"/>
      <c r="M50" s="135">
        <f t="shared" si="2"/>
        <v>2.1827999999999999</v>
      </c>
      <c r="N50" s="124"/>
      <c r="O50" s="148">
        <f t="shared" si="0"/>
        <v>873.11999999999989</v>
      </c>
      <c r="P50" s="124"/>
    </row>
    <row r="51" spans="1:22" x14ac:dyDescent="0.25">
      <c r="A51" s="62" t="s">
        <v>98</v>
      </c>
      <c r="B51" s="124"/>
      <c r="C51" s="124"/>
      <c r="D51" s="124"/>
      <c r="E51" s="132">
        <v>1</v>
      </c>
      <c r="F51" s="124"/>
      <c r="G51" s="133" t="s">
        <v>17</v>
      </c>
      <c r="H51" s="124"/>
      <c r="I51" s="102">
        <v>3.88</v>
      </c>
      <c r="J51" s="124"/>
      <c r="K51" s="121">
        <f t="shared" si="1"/>
        <v>1.0630136986301369E-2</v>
      </c>
      <c r="L51" s="124"/>
      <c r="M51" s="135">
        <f t="shared" si="2"/>
        <v>3.88</v>
      </c>
      <c r="N51" s="124"/>
      <c r="O51" s="148">
        <f t="shared" si="0"/>
        <v>1552</v>
      </c>
      <c r="P51" s="124"/>
    </row>
    <row r="52" spans="1:22" ht="15.75" customHeight="1" x14ac:dyDescent="0.25">
      <c r="A52" s="62" t="s">
        <v>99</v>
      </c>
      <c r="B52" s="124"/>
      <c r="C52" s="124"/>
      <c r="D52" s="124"/>
      <c r="E52" s="132">
        <v>1</v>
      </c>
      <c r="F52" s="124"/>
      <c r="G52" s="133" t="s">
        <v>17</v>
      </c>
      <c r="H52" s="124"/>
      <c r="I52" s="102">
        <f>4.19/12</f>
        <v>0.34916666666666668</v>
      </c>
      <c r="J52" s="124"/>
      <c r="K52" s="121">
        <f t="shared" si="1"/>
        <v>9.566210045662101E-4</v>
      </c>
      <c r="L52" s="124"/>
      <c r="M52" s="135">
        <f t="shared" si="2"/>
        <v>0.34916666666666668</v>
      </c>
      <c r="N52" s="124"/>
      <c r="O52" s="148">
        <f t="shared" si="0"/>
        <v>139.66666666666669</v>
      </c>
      <c r="P52" s="124"/>
    </row>
    <row r="53" spans="1:22" x14ac:dyDescent="0.25">
      <c r="A53" s="62" t="s">
        <v>100</v>
      </c>
      <c r="B53" s="124"/>
      <c r="C53" s="124"/>
      <c r="D53" s="124"/>
      <c r="E53" s="132">
        <v>2</v>
      </c>
      <c r="F53" s="124"/>
      <c r="G53" s="133" t="s">
        <v>17</v>
      </c>
      <c r="H53" s="124"/>
      <c r="I53" s="102">
        <f>74.49/50</f>
        <v>1.4897999999999998</v>
      </c>
      <c r="J53" s="124"/>
      <c r="K53" s="121">
        <f t="shared" si="1"/>
        <v>8.1632876712328748E-3</v>
      </c>
      <c r="L53" s="142"/>
      <c r="M53" s="135">
        <f t="shared" si="2"/>
        <v>2.9795999999999996</v>
      </c>
      <c r="N53" s="128"/>
      <c r="O53" s="148">
        <f t="shared" si="0"/>
        <v>1191.8399999999999</v>
      </c>
      <c r="P53" s="128"/>
    </row>
    <row r="54" spans="1:22" x14ac:dyDescent="0.25">
      <c r="A54" s="62" t="s">
        <v>101</v>
      </c>
      <c r="B54" s="124"/>
      <c r="C54" s="124"/>
      <c r="D54" s="124"/>
      <c r="E54" s="132">
        <v>2</v>
      </c>
      <c r="F54" s="124"/>
      <c r="G54" s="133" t="s">
        <v>17</v>
      </c>
      <c r="H54" s="124"/>
      <c r="I54" s="102">
        <f>104/50</f>
        <v>2.08</v>
      </c>
      <c r="J54" s="124"/>
      <c r="K54" s="121">
        <f t="shared" si="1"/>
        <v>1.1397260273972603E-2</v>
      </c>
      <c r="L54" s="124"/>
      <c r="M54" s="135">
        <f>I54*E54</f>
        <v>4.16</v>
      </c>
      <c r="N54" s="124"/>
      <c r="O54" s="148">
        <f t="shared" si="0"/>
        <v>1664</v>
      </c>
      <c r="P54" s="124"/>
    </row>
    <row r="55" spans="1:22" x14ac:dyDescent="0.25">
      <c r="A55" s="62"/>
      <c r="B55" s="124"/>
      <c r="C55" s="124"/>
      <c r="D55" s="124"/>
      <c r="E55" s="132"/>
      <c r="F55" s="124"/>
      <c r="G55" s="133"/>
      <c r="H55" s="124"/>
      <c r="I55" s="102"/>
      <c r="J55" s="124"/>
      <c r="K55" s="121">
        <f t="shared" si="1"/>
        <v>0</v>
      </c>
      <c r="L55" s="124"/>
      <c r="M55" s="135">
        <f>I55*E55</f>
        <v>0</v>
      </c>
      <c r="N55" s="124"/>
      <c r="O55" s="148">
        <f t="shared" si="0"/>
        <v>0</v>
      </c>
      <c r="P55" s="124"/>
    </row>
    <row r="56" spans="1:22" x14ac:dyDescent="0.25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34"/>
      <c r="L56" s="124"/>
      <c r="M56" s="135"/>
      <c r="N56" s="124"/>
      <c r="O56" s="148"/>
      <c r="P56" s="124"/>
    </row>
    <row r="57" spans="1:22" x14ac:dyDescent="0.25">
      <c r="A57" s="128" t="s">
        <v>148</v>
      </c>
      <c r="B57" s="124"/>
      <c r="C57" s="124"/>
      <c r="D57" s="124"/>
      <c r="E57" s="124"/>
      <c r="F57" s="124"/>
      <c r="G57" s="124"/>
      <c r="H57" s="124"/>
      <c r="I57" s="152" t="s">
        <v>171</v>
      </c>
      <c r="J57" s="153"/>
      <c r="K57" s="156">
        <f>SUM(R58:R59)</f>
        <v>0.54499999999999993</v>
      </c>
      <c r="L57" s="153"/>
      <c r="M57" s="156">
        <f>SUM(T58:T59)</f>
        <v>98.875</v>
      </c>
      <c r="N57" s="153"/>
      <c r="O57" s="156">
        <f>SUM(V58:V59)</f>
        <v>39550</v>
      </c>
      <c r="P57" s="124"/>
      <c r="Q57" s="86">
        <f>M57/12</f>
        <v>8.2395833333333339</v>
      </c>
    </row>
    <row r="58" spans="1:22" ht="15.6" customHeight="1" x14ac:dyDescent="0.25">
      <c r="A58" s="62" t="s">
        <v>172</v>
      </c>
      <c r="B58" s="124"/>
      <c r="C58" s="124"/>
      <c r="D58" s="124"/>
      <c r="E58" s="132">
        <v>5.5E-2</v>
      </c>
      <c r="F58" s="124"/>
      <c r="G58" s="133" t="s">
        <v>173</v>
      </c>
      <c r="H58" s="124"/>
      <c r="I58" s="102">
        <v>15</v>
      </c>
      <c r="J58" s="124"/>
      <c r="K58" s="134">
        <f>I58*E58</f>
        <v>0.82499999999999996</v>
      </c>
      <c r="L58" s="124"/>
      <c r="M58" s="135">
        <f>K58*(C19+C25)</f>
        <v>98.174999999999997</v>
      </c>
      <c r="N58" s="124"/>
      <c r="O58" s="148">
        <f>M58*Head</f>
        <v>39270</v>
      </c>
      <c r="P58" s="124"/>
      <c r="Q58" s="96">
        <f>4/12</f>
        <v>0.33333333333333331</v>
      </c>
      <c r="R58" s="86">
        <f>$Q$58*K58</f>
        <v>0.27499999999999997</v>
      </c>
      <c r="T58" s="86">
        <f>$Q$58*M58</f>
        <v>32.724999999999994</v>
      </c>
      <c r="V58" s="86">
        <f>$Q$58*O58</f>
        <v>13090</v>
      </c>
    </row>
    <row r="59" spans="1:22" x14ac:dyDescent="0.25">
      <c r="A59" s="62" t="s">
        <v>189</v>
      </c>
      <c r="B59" s="124"/>
      <c r="C59" s="124"/>
      <c r="D59" s="124"/>
      <c r="E59" s="132">
        <v>2.7E-2</v>
      </c>
      <c r="F59" s="124"/>
      <c r="G59" s="133" t="s">
        <v>173</v>
      </c>
      <c r="H59" s="124"/>
      <c r="I59" s="102">
        <v>15</v>
      </c>
      <c r="J59" s="124"/>
      <c r="K59" s="134">
        <f>I59*E59</f>
        <v>0.40499999999999997</v>
      </c>
      <c r="L59" s="124"/>
      <c r="M59" s="135">
        <f>K59*245</f>
        <v>99.224999999999994</v>
      </c>
      <c r="N59" s="124"/>
      <c r="O59" s="148">
        <f>M59*Head</f>
        <v>39690</v>
      </c>
      <c r="P59" s="124"/>
      <c r="Q59" s="96">
        <f>1-Q58</f>
        <v>0.66666666666666674</v>
      </c>
      <c r="R59" s="86">
        <f>$Q$59*K59</f>
        <v>0.27</v>
      </c>
      <c r="T59" s="86">
        <f>$Q$59*M59</f>
        <v>66.150000000000006</v>
      </c>
      <c r="V59" s="86">
        <f>$Q$59*O59</f>
        <v>26460.000000000004</v>
      </c>
    </row>
    <row r="60" spans="1:22" x14ac:dyDescent="0.25">
      <c r="A60" s="62"/>
      <c r="B60" s="124"/>
      <c r="C60" s="124"/>
      <c r="D60" s="124"/>
      <c r="E60" s="132"/>
      <c r="F60" s="124"/>
      <c r="G60" s="133"/>
      <c r="H60" s="124"/>
      <c r="I60" s="102"/>
      <c r="J60" s="124"/>
      <c r="K60" s="134"/>
      <c r="L60" s="124"/>
      <c r="M60" s="135">
        <f>I60*E60</f>
        <v>0</v>
      </c>
      <c r="N60" s="124"/>
      <c r="O60" s="148">
        <f>M60*Head</f>
        <v>0</v>
      </c>
      <c r="P60" s="124"/>
    </row>
    <row r="61" spans="1:22" x14ac:dyDescent="0.25">
      <c r="A61" s="124"/>
      <c r="B61" s="124"/>
      <c r="C61" s="124"/>
      <c r="D61" s="124"/>
      <c r="E61" s="124"/>
      <c r="F61" s="124"/>
      <c r="G61" s="125"/>
      <c r="H61" s="124"/>
      <c r="I61" s="136"/>
      <c r="J61" s="124"/>
      <c r="K61" s="121"/>
      <c r="L61" s="124"/>
      <c r="M61" s="121"/>
      <c r="N61" s="124"/>
      <c r="O61" s="148"/>
      <c r="P61" s="124"/>
      <c r="R61">
        <f>0.67*365</f>
        <v>244.55</v>
      </c>
      <c r="T61">
        <f>0.67*365</f>
        <v>244.55</v>
      </c>
      <c r="V61">
        <f>0.67*365</f>
        <v>244.55</v>
      </c>
    </row>
    <row r="62" spans="1:22" x14ac:dyDescent="0.25">
      <c r="A62" s="128" t="s">
        <v>133</v>
      </c>
      <c r="B62" s="124"/>
      <c r="C62" s="124"/>
      <c r="D62" s="124"/>
      <c r="E62" s="124"/>
      <c r="F62" s="124"/>
      <c r="G62" s="125"/>
      <c r="H62" s="124"/>
      <c r="I62" s="136"/>
      <c r="J62" s="124"/>
      <c r="K62" s="143">
        <f>SUM(K63:K65)</f>
        <v>5.5555555555555552E-2</v>
      </c>
      <c r="L62" s="124"/>
      <c r="M62" s="145">
        <f>SUM(M63:M64)</f>
        <v>37.5</v>
      </c>
      <c r="N62" s="157"/>
      <c r="O62" s="158">
        <f>SUM(O63:O64)</f>
        <v>15000</v>
      </c>
      <c r="P62" s="124"/>
    </row>
    <row r="63" spans="1:22" x14ac:dyDescent="0.25">
      <c r="A63" s="62" t="s">
        <v>147</v>
      </c>
      <c r="B63" s="124"/>
      <c r="C63" s="124"/>
      <c r="D63" s="124"/>
      <c r="E63" s="132">
        <v>1</v>
      </c>
      <c r="F63" s="124"/>
      <c r="G63" s="133" t="s">
        <v>17</v>
      </c>
      <c r="H63" s="124"/>
      <c r="I63" s="102">
        <v>37.5</v>
      </c>
      <c r="J63" s="124"/>
      <c r="K63" s="134">
        <f>I63/675</f>
        <v>5.5555555555555552E-2</v>
      </c>
      <c r="L63" s="124"/>
      <c r="M63" s="135">
        <f>I63</f>
        <v>37.5</v>
      </c>
      <c r="N63" s="124"/>
      <c r="O63" s="148">
        <f>M63*Head</f>
        <v>15000</v>
      </c>
      <c r="P63" s="124"/>
    </row>
    <row r="64" spans="1:22" x14ac:dyDescent="0.25">
      <c r="A64" s="62"/>
      <c r="B64" s="124"/>
      <c r="C64" s="124"/>
      <c r="D64" s="124"/>
      <c r="E64" s="132"/>
      <c r="F64" s="124"/>
      <c r="G64" s="133"/>
      <c r="H64" s="124"/>
      <c r="I64" s="102"/>
      <c r="J64" s="124"/>
      <c r="K64" s="134"/>
      <c r="L64" s="124"/>
      <c r="M64" s="135"/>
      <c r="N64" s="124"/>
      <c r="O64" s="148"/>
      <c r="P64" s="124"/>
    </row>
    <row r="65" spans="1:18" x14ac:dyDescent="0.25">
      <c r="A65" s="124"/>
      <c r="B65" s="124"/>
      <c r="C65" s="124"/>
      <c r="D65" s="124"/>
      <c r="E65" s="124"/>
      <c r="F65" s="124"/>
      <c r="G65" s="125"/>
      <c r="H65" s="124"/>
      <c r="I65" s="136"/>
      <c r="J65" s="124"/>
      <c r="K65" s="121"/>
      <c r="L65" s="124"/>
      <c r="M65" s="121"/>
      <c r="N65" s="124"/>
      <c r="O65" s="148"/>
      <c r="P65" s="124"/>
    </row>
    <row r="66" spans="1:18" x14ac:dyDescent="0.25">
      <c r="A66" s="128" t="s">
        <v>200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43">
        <f>K12+K42+K44+K57+K62</f>
        <v>3.7863543683409437</v>
      </c>
      <c r="L66" s="157"/>
      <c r="M66" s="143">
        <f>M12+M42+M44+M57+M62</f>
        <v>579.81163378995439</v>
      </c>
      <c r="N66" s="124"/>
      <c r="O66" s="143">
        <f>O12+O42+O44+O57+O62</f>
        <v>231575.50283105022</v>
      </c>
      <c r="P66" s="124"/>
      <c r="Q66" s="86">
        <f>K66*365</f>
        <v>1382.0193444444444</v>
      </c>
      <c r="R66" s="86">
        <f>Q66*Head</f>
        <v>552807.73777777771</v>
      </c>
    </row>
    <row r="67" spans="1:18" x14ac:dyDescent="0.25">
      <c r="A67" s="128"/>
      <c r="B67" s="124"/>
      <c r="C67" s="124"/>
      <c r="D67" s="128"/>
      <c r="E67" s="128"/>
      <c r="F67" s="128"/>
      <c r="G67" s="128"/>
      <c r="H67" s="128"/>
      <c r="I67" s="128"/>
      <c r="J67" s="124"/>
      <c r="K67" s="134"/>
      <c r="L67" s="124"/>
      <c r="M67" s="135"/>
      <c r="N67" s="124"/>
      <c r="O67" s="148"/>
      <c r="P67" s="124"/>
    </row>
    <row r="68" spans="1:18" x14ac:dyDescent="0.25">
      <c r="A68" s="159" t="s">
        <v>156</v>
      </c>
      <c r="B68" s="160"/>
      <c r="C68" s="160"/>
      <c r="D68" s="160"/>
      <c r="E68" s="132">
        <v>1</v>
      </c>
      <c r="F68" s="160"/>
      <c r="G68" s="161" t="s">
        <v>52</v>
      </c>
      <c r="H68" s="160"/>
      <c r="I68" s="162">
        <v>0.06</v>
      </c>
      <c r="J68" s="160"/>
      <c r="K68" s="163">
        <f>K66*I68</f>
        <v>0.22718126210045661</v>
      </c>
      <c r="L68" s="160"/>
      <c r="M68" s="163">
        <f>M66*I68</f>
        <v>34.78869802739726</v>
      </c>
      <c r="N68" s="160"/>
      <c r="O68" s="163">
        <f>O66*I68</f>
        <v>13894.530169863014</v>
      </c>
      <c r="P68" s="160"/>
      <c r="Q68" s="86"/>
    </row>
    <row r="69" spans="1:18" x14ac:dyDescent="0.25">
      <c r="A69" s="124"/>
      <c r="B69" s="124"/>
      <c r="C69" s="124"/>
      <c r="D69" s="124"/>
      <c r="E69" s="124"/>
      <c r="F69" s="124"/>
      <c r="G69" s="125"/>
      <c r="H69" s="124"/>
      <c r="I69" s="136"/>
      <c r="J69" s="124"/>
      <c r="K69" s="121"/>
      <c r="L69" s="124"/>
      <c r="M69" s="121"/>
      <c r="N69" s="124"/>
      <c r="O69" s="148"/>
      <c r="P69" s="124"/>
    </row>
    <row r="70" spans="1:18" x14ac:dyDescent="0.25">
      <c r="A70" s="164" t="s">
        <v>9</v>
      </c>
      <c r="B70" s="165"/>
      <c r="C70" s="165"/>
      <c r="D70" s="165"/>
      <c r="E70" s="165"/>
      <c r="F70" s="165"/>
      <c r="G70" s="166"/>
      <c r="H70" s="165"/>
      <c r="I70" s="167"/>
      <c r="J70" s="165"/>
      <c r="K70" s="168">
        <f>K68+K66</f>
        <v>4.0135356304414005</v>
      </c>
      <c r="L70" s="165"/>
      <c r="M70" s="168">
        <f>M68+M66</f>
        <v>614.60033181735162</v>
      </c>
      <c r="N70" s="165"/>
      <c r="O70" s="168">
        <f>O68+O66</f>
        <v>245470.03300091324</v>
      </c>
      <c r="P70" s="165"/>
      <c r="Q70" s="86">
        <f>M70*400</f>
        <v>245840.13272694065</v>
      </c>
    </row>
    <row r="71" spans="1:18" x14ac:dyDescent="0.25">
      <c r="A71" s="169"/>
      <c r="B71" s="124"/>
      <c r="C71" s="124"/>
      <c r="D71" s="124"/>
      <c r="E71" s="124"/>
      <c r="F71" s="124"/>
      <c r="G71" s="125"/>
      <c r="H71" s="124"/>
      <c r="I71" s="136"/>
      <c r="J71" s="124"/>
      <c r="K71" s="121"/>
      <c r="L71" s="124"/>
      <c r="M71" s="121"/>
      <c r="N71" s="124"/>
      <c r="O71" s="170"/>
      <c r="P71" s="124"/>
    </row>
    <row r="72" spans="1:18" x14ac:dyDescent="0.25">
      <c r="A72" s="137" t="s">
        <v>10</v>
      </c>
      <c r="B72" s="124"/>
      <c r="C72" s="124"/>
      <c r="D72" s="124"/>
      <c r="E72" s="124"/>
      <c r="F72" s="124"/>
      <c r="G72" s="125"/>
      <c r="H72" s="124"/>
      <c r="I72" s="136"/>
      <c r="J72" s="124"/>
      <c r="K72" s="171"/>
      <c r="L72" s="142"/>
      <c r="M72" s="171"/>
      <c r="N72" s="142"/>
      <c r="O72" s="171"/>
      <c r="P72" s="142"/>
    </row>
    <row r="73" spans="1:18" x14ac:dyDescent="0.25">
      <c r="A73" s="124"/>
      <c r="B73" s="124"/>
      <c r="C73" s="124"/>
      <c r="D73" s="124"/>
      <c r="E73" s="124"/>
      <c r="F73" s="124"/>
      <c r="G73" s="125"/>
      <c r="H73" s="124"/>
      <c r="I73" s="136"/>
      <c r="J73" s="124"/>
      <c r="K73" s="121"/>
      <c r="L73" s="124"/>
      <c r="M73" s="121"/>
      <c r="N73" s="124"/>
      <c r="O73" s="121"/>
      <c r="P73" s="124"/>
    </row>
    <row r="74" spans="1:18" x14ac:dyDescent="0.25">
      <c r="A74" s="62" t="s">
        <v>86</v>
      </c>
      <c r="B74" s="124"/>
      <c r="C74" s="124"/>
      <c r="D74" s="124"/>
      <c r="E74" s="132">
        <v>1</v>
      </c>
      <c r="F74" s="124"/>
      <c r="G74" s="133" t="s">
        <v>7</v>
      </c>
      <c r="H74" s="124"/>
      <c r="I74" s="102">
        <f>CRC</f>
        <v>208.96448840485101</v>
      </c>
      <c r="J74" s="124"/>
      <c r="K74" s="134">
        <f>M74/days</f>
        <v>0.57250544768452327</v>
      </c>
      <c r="L74" s="124"/>
      <c r="M74" s="135">
        <f>I74*E74</f>
        <v>208.96448840485101</v>
      </c>
      <c r="N74" s="124"/>
      <c r="O74" s="135">
        <f>M74*Head</f>
        <v>83585.7953619404</v>
      </c>
      <c r="P74" s="124"/>
    </row>
    <row r="75" spans="1:18" x14ac:dyDescent="0.25">
      <c r="A75" s="62" t="s">
        <v>11</v>
      </c>
      <c r="B75" s="2"/>
      <c r="C75" s="2"/>
      <c r="D75" s="2"/>
      <c r="E75" s="172">
        <v>1</v>
      </c>
      <c r="F75" s="2"/>
      <c r="G75" s="173" t="s">
        <v>12</v>
      </c>
      <c r="H75" s="124"/>
      <c r="I75" s="102">
        <v>3.5</v>
      </c>
      <c r="J75" s="124"/>
      <c r="K75" s="134">
        <f>M75/days</f>
        <v>9.5890410958904115E-3</v>
      </c>
      <c r="L75" s="124"/>
      <c r="M75" s="135">
        <f>I75*E75</f>
        <v>3.5</v>
      </c>
      <c r="N75" s="124"/>
      <c r="O75" s="135">
        <f>M75*Head</f>
        <v>1400</v>
      </c>
      <c r="P75" s="124"/>
    </row>
    <row r="76" spans="1:18" x14ac:dyDescent="0.25">
      <c r="A76" s="62" t="s">
        <v>87</v>
      </c>
      <c r="B76" s="2"/>
      <c r="C76" s="2"/>
      <c r="D76" s="2"/>
      <c r="E76" s="172">
        <v>1</v>
      </c>
      <c r="F76" s="2"/>
      <c r="G76" s="173" t="s">
        <v>12</v>
      </c>
      <c r="H76" s="124"/>
      <c r="I76" s="174">
        <v>2.5000000000000001E-2</v>
      </c>
      <c r="J76" s="124"/>
      <c r="K76" s="134">
        <f>M76/days</f>
        <v>3.9713125602051674E-2</v>
      </c>
      <c r="L76" s="124"/>
      <c r="M76" s="135">
        <f>I76*M66</f>
        <v>14.49529084474886</v>
      </c>
      <c r="N76" s="124"/>
      <c r="O76" s="135">
        <f>M76*Head</f>
        <v>5798.1163378995443</v>
      </c>
      <c r="P76" s="124"/>
    </row>
    <row r="77" spans="1:18" x14ac:dyDescent="0.25">
      <c r="A77" s="62" t="s">
        <v>13</v>
      </c>
      <c r="B77" s="124"/>
      <c r="C77" s="124"/>
      <c r="D77" s="124"/>
      <c r="E77" s="62"/>
      <c r="F77" s="124"/>
      <c r="G77" s="133"/>
      <c r="H77" s="124"/>
      <c r="I77" s="102"/>
      <c r="J77" s="124"/>
      <c r="K77" s="134"/>
      <c r="L77" s="124"/>
      <c r="M77" s="135"/>
      <c r="N77" s="124"/>
      <c r="O77" s="135"/>
      <c r="P77" s="124"/>
    </row>
    <row r="78" spans="1:18" x14ac:dyDescent="0.25">
      <c r="A78" s="124"/>
      <c r="B78" s="124"/>
      <c r="C78" s="124"/>
      <c r="D78" s="124"/>
      <c r="E78" s="124"/>
      <c r="F78" s="124"/>
      <c r="G78" s="125"/>
      <c r="H78" s="124"/>
      <c r="I78" s="136"/>
      <c r="J78" s="124"/>
      <c r="K78" s="136"/>
      <c r="L78" s="124"/>
      <c r="M78" s="136"/>
      <c r="N78" s="124"/>
      <c r="O78" s="136"/>
      <c r="P78" s="124"/>
    </row>
    <row r="79" spans="1:18" x14ac:dyDescent="0.25">
      <c r="A79" s="128" t="s">
        <v>14</v>
      </c>
      <c r="B79" s="124"/>
      <c r="C79" s="124"/>
      <c r="D79" s="124"/>
      <c r="E79" s="124"/>
      <c r="F79" s="124"/>
      <c r="G79" s="125"/>
      <c r="H79" s="124"/>
      <c r="I79" s="124"/>
      <c r="J79" s="124"/>
      <c r="K79" s="175">
        <f>SUM(K74:K77)</f>
        <v>0.62180761438246535</v>
      </c>
      <c r="L79" s="142"/>
      <c r="M79" s="175">
        <f>SUM(M74:M77)</f>
        <v>226.95977924959988</v>
      </c>
      <c r="N79" s="142"/>
      <c r="O79" s="175">
        <f>SUM(O74:O77)</f>
        <v>90783.91169983994</v>
      </c>
      <c r="P79" s="142"/>
      <c r="Q79" s="86">
        <f>M79*400</f>
        <v>90783.911699839955</v>
      </c>
    </row>
    <row r="80" spans="1:18" x14ac:dyDescent="0.25">
      <c r="A80" s="124"/>
      <c r="B80" s="124"/>
      <c r="C80" s="124"/>
      <c r="D80" s="124"/>
      <c r="E80" s="124"/>
      <c r="F80" s="124"/>
      <c r="G80" s="125"/>
      <c r="H80" s="124"/>
      <c r="I80" s="136"/>
      <c r="J80" s="124"/>
      <c r="K80" s="136"/>
      <c r="L80" s="124"/>
      <c r="M80" s="136"/>
      <c r="N80" s="124"/>
      <c r="O80" s="136"/>
      <c r="P80" s="124"/>
    </row>
    <row r="81" spans="1:17" x14ac:dyDescent="0.25">
      <c r="A81" s="128" t="s">
        <v>15</v>
      </c>
      <c r="B81" s="124"/>
      <c r="C81" s="124"/>
      <c r="D81" s="124"/>
      <c r="E81" s="124"/>
      <c r="F81" s="124"/>
      <c r="G81" s="125"/>
      <c r="H81" s="124"/>
      <c r="I81" s="124"/>
      <c r="J81" s="124"/>
      <c r="K81" s="175">
        <f>K79+K70</f>
        <v>4.6353432448238658</v>
      </c>
      <c r="L81" s="142"/>
      <c r="M81" s="175">
        <f>M79+M70</f>
        <v>841.56011106695155</v>
      </c>
      <c r="N81" s="175"/>
      <c r="O81" s="175">
        <f>O79+O70</f>
        <v>336253.9447007532</v>
      </c>
      <c r="P81" s="175"/>
    </row>
    <row r="82" spans="1:17" x14ac:dyDescent="0.25">
      <c r="A82" s="164"/>
      <c r="B82" s="165"/>
      <c r="C82" s="165"/>
      <c r="D82" s="165"/>
      <c r="E82" s="165"/>
      <c r="F82" s="165"/>
      <c r="G82" s="166"/>
      <c r="H82" s="165"/>
      <c r="I82" s="165"/>
      <c r="J82" s="165"/>
      <c r="K82" s="176"/>
      <c r="L82" s="177"/>
      <c r="M82" s="176"/>
      <c r="N82" s="177"/>
      <c r="O82" s="176"/>
      <c r="P82" s="177"/>
      <c r="Q82" s="86"/>
    </row>
    <row r="83" spans="1:17" s="21" customFormat="1" x14ac:dyDescent="0.25">
      <c r="A83" s="16"/>
      <c r="B83" s="17"/>
      <c r="C83" s="17"/>
      <c r="D83" s="17"/>
      <c r="E83" s="17"/>
      <c r="F83" s="17"/>
      <c r="G83" s="18"/>
      <c r="H83" s="17"/>
      <c r="I83" s="84"/>
      <c r="J83" s="17"/>
      <c r="K83" s="17"/>
      <c r="L83" s="17"/>
      <c r="M83" s="19"/>
      <c r="N83" s="20"/>
      <c r="O83" s="19"/>
      <c r="P83" s="20"/>
    </row>
    <row r="85" spans="1:17" x14ac:dyDescent="0.25">
      <c r="M85" s="99"/>
    </row>
  </sheetData>
  <mergeCells count="2">
    <mergeCell ref="G2:I2"/>
    <mergeCell ref="A3:N3"/>
  </mergeCells>
  <pageMargins left="0.75" right="0.75" top="1" bottom="1" header="0.5" footer="0.5"/>
  <pageSetup scale="58" fitToHeight="2" orientation="portrait" r:id="rId1"/>
  <rowBreaks count="1" manualBreakCount="1">
    <brk id="7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2"/>
  <sheetViews>
    <sheetView zoomScale="75" zoomScaleNormal="75" workbookViewId="0"/>
  </sheetViews>
  <sheetFormatPr defaultColWidth="8.875" defaultRowHeight="15.75" x14ac:dyDescent="0.25"/>
  <cols>
    <col min="1" max="1" width="30.375" customWidth="1"/>
    <col min="2" max="2" width="2" customWidth="1"/>
    <col min="3" max="3" width="7.5" customWidth="1"/>
    <col min="4" max="4" width="2" customWidth="1"/>
    <col min="5" max="5" width="10.875" customWidth="1"/>
    <col min="6" max="6" width="2" customWidth="1"/>
    <col min="7" max="7" width="8.5" style="1" customWidth="1"/>
    <col min="8" max="8" width="1.5" customWidth="1"/>
    <col min="9" max="9" width="10.625" style="85" customWidth="1"/>
    <col min="10" max="10" width="1.5" customWidth="1"/>
    <col min="11" max="11" width="12.125" customWidth="1"/>
    <col min="12" max="12" width="1.625" customWidth="1"/>
    <col min="13" max="13" width="19.5" style="2" customWidth="1"/>
    <col min="14" max="14" width="1.5" customWidth="1"/>
    <col min="15" max="15" width="19.5" style="2" customWidth="1"/>
    <col min="16" max="16" width="4.875" customWidth="1"/>
    <col min="17" max="18" width="0" hidden="1" customWidth="1"/>
    <col min="19" max="19" width="1.625" hidden="1" customWidth="1"/>
    <col min="20" max="20" width="10.375" hidden="1" customWidth="1"/>
    <col min="21" max="21" width="2" hidden="1" customWidth="1"/>
    <col min="22" max="22" width="12.75" hidden="1" customWidth="1"/>
    <col min="23" max="24" width="0" hidden="1" customWidth="1"/>
    <col min="256" max="256" width="26.5" customWidth="1"/>
    <col min="257" max="257" width="2" customWidth="1"/>
    <col min="258" max="258" width="11.625" customWidth="1"/>
    <col min="259" max="259" width="1.125" customWidth="1"/>
    <col min="260" max="260" width="10.625" customWidth="1"/>
    <col min="261" max="261" width="1.5" customWidth="1"/>
    <col min="262" max="262" width="10.625" customWidth="1"/>
    <col min="263" max="263" width="1.625" customWidth="1"/>
    <col min="264" max="264" width="16.625" customWidth="1"/>
    <col min="265" max="265" width="1.5" customWidth="1"/>
    <col min="512" max="512" width="26.5" customWidth="1"/>
    <col min="513" max="513" width="2" customWidth="1"/>
    <col min="514" max="514" width="11.625" customWidth="1"/>
    <col min="515" max="515" width="1.125" customWidth="1"/>
    <col min="516" max="516" width="10.625" customWidth="1"/>
    <col min="517" max="517" width="1.5" customWidth="1"/>
    <col min="518" max="518" width="10.625" customWidth="1"/>
    <col min="519" max="519" width="1.625" customWidth="1"/>
    <col min="520" max="520" width="16.625" customWidth="1"/>
    <col min="521" max="521" width="1.5" customWidth="1"/>
    <col min="768" max="768" width="26.5" customWidth="1"/>
    <col min="769" max="769" width="2" customWidth="1"/>
    <col min="770" max="770" width="11.625" customWidth="1"/>
    <col min="771" max="771" width="1.125" customWidth="1"/>
    <col min="772" max="772" width="10.625" customWidth="1"/>
    <col min="773" max="773" width="1.5" customWidth="1"/>
    <col min="774" max="774" width="10.625" customWidth="1"/>
    <col min="775" max="775" width="1.625" customWidth="1"/>
    <col min="776" max="776" width="16.625" customWidth="1"/>
    <col min="777" max="777" width="1.5" customWidth="1"/>
    <col min="1024" max="1024" width="26.5" customWidth="1"/>
    <col min="1025" max="1025" width="2" customWidth="1"/>
    <col min="1026" max="1026" width="11.625" customWidth="1"/>
    <col min="1027" max="1027" width="1.125" customWidth="1"/>
    <col min="1028" max="1028" width="10.625" customWidth="1"/>
    <col min="1029" max="1029" width="1.5" customWidth="1"/>
    <col min="1030" max="1030" width="10.625" customWidth="1"/>
    <col min="1031" max="1031" width="1.625" customWidth="1"/>
    <col min="1032" max="1032" width="16.625" customWidth="1"/>
    <col min="1033" max="1033" width="1.5" customWidth="1"/>
    <col min="1280" max="1280" width="26.5" customWidth="1"/>
    <col min="1281" max="1281" width="2" customWidth="1"/>
    <col min="1282" max="1282" width="11.625" customWidth="1"/>
    <col min="1283" max="1283" width="1.125" customWidth="1"/>
    <col min="1284" max="1284" width="10.625" customWidth="1"/>
    <col min="1285" max="1285" width="1.5" customWidth="1"/>
    <col min="1286" max="1286" width="10.625" customWidth="1"/>
    <col min="1287" max="1287" width="1.625" customWidth="1"/>
    <col min="1288" max="1288" width="16.625" customWidth="1"/>
    <col min="1289" max="1289" width="1.5" customWidth="1"/>
    <col min="1536" max="1536" width="26.5" customWidth="1"/>
    <col min="1537" max="1537" width="2" customWidth="1"/>
    <col min="1538" max="1538" width="11.625" customWidth="1"/>
    <col min="1539" max="1539" width="1.125" customWidth="1"/>
    <col min="1540" max="1540" width="10.625" customWidth="1"/>
    <col min="1541" max="1541" width="1.5" customWidth="1"/>
    <col min="1542" max="1542" width="10.625" customWidth="1"/>
    <col min="1543" max="1543" width="1.625" customWidth="1"/>
    <col min="1544" max="1544" width="16.625" customWidth="1"/>
    <col min="1545" max="1545" width="1.5" customWidth="1"/>
    <col min="1792" max="1792" width="26.5" customWidth="1"/>
    <col min="1793" max="1793" width="2" customWidth="1"/>
    <col min="1794" max="1794" width="11.625" customWidth="1"/>
    <col min="1795" max="1795" width="1.125" customWidth="1"/>
    <col min="1796" max="1796" width="10.625" customWidth="1"/>
    <col min="1797" max="1797" width="1.5" customWidth="1"/>
    <col min="1798" max="1798" width="10.625" customWidth="1"/>
    <col min="1799" max="1799" width="1.625" customWidth="1"/>
    <col min="1800" max="1800" width="16.625" customWidth="1"/>
    <col min="1801" max="1801" width="1.5" customWidth="1"/>
    <col min="2048" max="2048" width="26.5" customWidth="1"/>
    <col min="2049" max="2049" width="2" customWidth="1"/>
    <col min="2050" max="2050" width="11.625" customWidth="1"/>
    <col min="2051" max="2051" width="1.125" customWidth="1"/>
    <col min="2052" max="2052" width="10.625" customWidth="1"/>
    <col min="2053" max="2053" width="1.5" customWidth="1"/>
    <col min="2054" max="2054" width="10.625" customWidth="1"/>
    <col min="2055" max="2055" width="1.625" customWidth="1"/>
    <col min="2056" max="2056" width="16.625" customWidth="1"/>
    <col min="2057" max="2057" width="1.5" customWidth="1"/>
    <col min="2304" max="2304" width="26.5" customWidth="1"/>
    <col min="2305" max="2305" width="2" customWidth="1"/>
    <col min="2306" max="2306" width="11.625" customWidth="1"/>
    <col min="2307" max="2307" width="1.125" customWidth="1"/>
    <col min="2308" max="2308" width="10.625" customWidth="1"/>
    <col min="2309" max="2309" width="1.5" customWidth="1"/>
    <col min="2310" max="2310" width="10.625" customWidth="1"/>
    <col min="2311" max="2311" width="1.625" customWidth="1"/>
    <col min="2312" max="2312" width="16.625" customWidth="1"/>
    <col min="2313" max="2313" width="1.5" customWidth="1"/>
    <col min="2560" max="2560" width="26.5" customWidth="1"/>
    <col min="2561" max="2561" width="2" customWidth="1"/>
    <col min="2562" max="2562" width="11.625" customWidth="1"/>
    <col min="2563" max="2563" width="1.125" customWidth="1"/>
    <col min="2564" max="2564" width="10.625" customWidth="1"/>
    <col min="2565" max="2565" width="1.5" customWidth="1"/>
    <col min="2566" max="2566" width="10.625" customWidth="1"/>
    <col min="2567" max="2567" width="1.625" customWidth="1"/>
    <col min="2568" max="2568" width="16.625" customWidth="1"/>
    <col min="2569" max="2569" width="1.5" customWidth="1"/>
    <col min="2816" max="2816" width="26.5" customWidth="1"/>
    <col min="2817" max="2817" width="2" customWidth="1"/>
    <col min="2818" max="2818" width="11.625" customWidth="1"/>
    <col min="2819" max="2819" width="1.125" customWidth="1"/>
    <col min="2820" max="2820" width="10.625" customWidth="1"/>
    <col min="2821" max="2821" width="1.5" customWidth="1"/>
    <col min="2822" max="2822" width="10.625" customWidth="1"/>
    <col min="2823" max="2823" width="1.625" customWidth="1"/>
    <col min="2824" max="2824" width="16.625" customWidth="1"/>
    <col min="2825" max="2825" width="1.5" customWidth="1"/>
    <col min="3072" max="3072" width="26.5" customWidth="1"/>
    <col min="3073" max="3073" width="2" customWidth="1"/>
    <col min="3074" max="3074" width="11.625" customWidth="1"/>
    <col min="3075" max="3075" width="1.125" customWidth="1"/>
    <col min="3076" max="3076" width="10.625" customWidth="1"/>
    <col min="3077" max="3077" width="1.5" customWidth="1"/>
    <col min="3078" max="3078" width="10.625" customWidth="1"/>
    <col min="3079" max="3079" width="1.625" customWidth="1"/>
    <col min="3080" max="3080" width="16.625" customWidth="1"/>
    <col min="3081" max="3081" width="1.5" customWidth="1"/>
    <col min="3328" max="3328" width="26.5" customWidth="1"/>
    <col min="3329" max="3329" width="2" customWidth="1"/>
    <col min="3330" max="3330" width="11.625" customWidth="1"/>
    <col min="3331" max="3331" width="1.125" customWidth="1"/>
    <col min="3332" max="3332" width="10.625" customWidth="1"/>
    <col min="3333" max="3333" width="1.5" customWidth="1"/>
    <col min="3334" max="3334" width="10.625" customWidth="1"/>
    <col min="3335" max="3335" width="1.625" customWidth="1"/>
    <col min="3336" max="3336" width="16.625" customWidth="1"/>
    <col min="3337" max="3337" width="1.5" customWidth="1"/>
    <col min="3584" max="3584" width="26.5" customWidth="1"/>
    <col min="3585" max="3585" width="2" customWidth="1"/>
    <col min="3586" max="3586" width="11.625" customWidth="1"/>
    <col min="3587" max="3587" width="1.125" customWidth="1"/>
    <col min="3588" max="3588" width="10.625" customWidth="1"/>
    <col min="3589" max="3589" width="1.5" customWidth="1"/>
    <col min="3590" max="3590" width="10.625" customWidth="1"/>
    <col min="3591" max="3591" width="1.625" customWidth="1"/>
    <col min="3592" max="3592" width="16.625" customWidth="1"/>
    <col min="3593" max="3593" width="1.5" customWidth="1"/>
    <col min="3840" max="3840" width="26.5" customWidth="1"/>
    <col min="3841" max="3841" width="2" customWidth="1"/>
    <col min="3842" max="3842" width="11.625" customWidth="1"/>
    <col min="3843" max="3843" width="1.125" customWidth="1"/>
    <col min="3844" max="3844" width="10.625" customWidth="1"/>
    <col min="3845" max="3845" width="1.5" customWidth="1"/>
    <col min="3846" max="3846" width="10.625" customWidth="1"/>
    <col min="3847" max="3847" width="1.625" customWidth="1"/>
    <col min="3848" max="3848" width="16.625" customWidth="1"/>
    <col min="3849" max="3849" width="1.5" customWidth="1"/>
    <col min="4096" max="4096" width="26.5" customWidth="1"/>
    <col min="4097" max="4097" width="2" customWidth="1"/>
    <col min="4098" max="4098" width="11.625" customWidth="1"/>
    <col min="4099" max="4099" width="1.125" customWidth="1"/>
    <col min="4100" max="4100" width="10.625" customWidth="1"/>
    <col min="4101" max="4101" width="1.5" customWidth="1"/>
    <col min="4102" max="4102" width="10.625" customWidth="1"/>
    <col min="4103" max="4103" width="1.625" customWidth="1"/>
    <col min="4104" max="4104" width="16.625" customWidth="1"/>
    <col min="4105" max="4105" width="1.5" customWidth="1"/>
    <col min="4352" max="4352" width="26.5" customWidth="1"/>
    <col min="4353" max="4353" width="2" customWidth="1"/>
    <col min="4354" max="4354" width="11.625" customWidth="1"/>
    <col min="4355" max="4355" width="1.125" customWidth="1"/>
    <col min="4356" max="4356" width="10.625" customWidth="1"/>
    <col min="4357" max="4357" width="1.5" customWidth="1"/>
    <col min="4358" max="4358" width="10.625" customWidth="1"/>
    <col min="4359" max="4359" width="1.625" customWidth="1"/>
    <col min="4360" max="4360" width="16.625" customWidth="1"/>
    <col min="4361" max="4361" width="1.5" customWidth="1"/>
    <col min="4608" max="4608" width="26.5" customWidth="1"/>
    <col min="4609" max="4609" width="2" customWidth="1"/>
    <col min="4610" max="4610" width="11.625" customWidth="1"/>
    <col min="4611" max="4611" width="1.125" customWidth="1"/>
    <col min="4612" max="4612" width="10.625" customWidth="1"/>
    <col min="4613" max="4613" width="1.5" customWidth="1"/>
    <col min="4614" max="4614" width="10.625" customWidth="1"/>
    <col min="4615" max="4615" width="1.625" customWidth="1"/>
    <col min="4616" max="4616" width="16.625" customWidth="1"/>
    <col min="4617" max="4617" width="1.5" customWidth="1"/>
    <col min="4864" max="4864" width="26.5" customWidth="1"/>
    <col min="4865" max="4865" width="2" customWidth="1"/>
    <col min="4866" max="4866" width="11.625" customWidth="1"/>
    <col min="4867" max="4867" width="1.125" customWidth="1"/>
    <col min="4868" max="4868" width="10.625" customWidth="1"/>
    <col min="4869" max="4869" width="1.5" customWidth="1"/>
    <col min="4870" max="4870" width="10.625" customWidth="1"/>
    <col min="4871" max="4871" width="1.625" customWidth="1"/>
    <col min="4872" max="4872" width="16.625" customWidth="1"/>
    <col min="4873" max="4873" width="1.5" customWidth="1"/>
    <col min="5120" max="5120" width="26.5" customWidth="1"/>
    <col min="5121" max="5121" width="2" customWidth="1"/>
    <col min="5122" max="5122" width="11.625" customWidth="1"/>
    <col min="5123" max="5123" width="1.125" customWidth="1"/>
    <col min="5124" max="5124" width="10.625" customWidth="1"/>
    <col min="5125" max="5125" width="1.5" customWidth="1"/>
    <col min="5126" max="5126" width="10.625" customWidth="1"/>
    <col min="5127" max="5127" width="1.625" customWidth="1"/>
    <col min="5128" max="5128" width="16.625" customWidth="1"/>
    <col min="5129" max="5129" width="1.5" customWidth="1"/>
    <col min="5376" max="5376" width="26.5" customWidth="1"/>
    <col min="5377" max="5377" width="2" customWidth="1"/>
    <col min="5378" max="5378" width="11.625" customWidth="1"/>
    <col min="5379" max="5379" width="1.125" customWidth="1"/>
    <col min="5380" max="5380" width="10.625" customWidth="1"/>
    <col min="5381" max="5381" width="1.5" customWidth="1"/>
    <col min="5382" max="5382" width="10.625" customWidth="1"/>
    <col min="5383" max="5383" width="1.625" customWidth="1"/>
    <col min="5384" max="5384" width="16.625" customWidth="1"/>
    <col min="5385" max="5385" width="1.5" customWidth="1"/>
    <col min="5632" max="5632" width="26.5" customWidth="1"/>
    <col min="5633" max="5633" width="2" customWidth="1"/>
    <col min="5634" max="5634" width="11.625" customWidth="1"/>
    <col min="5635" max="5635" width="1.125" customWidth="1"/>
    <col min="5636" max="5636" width="10.625" customWidth="1"/>
    <col min="5637" max="5637" width="1.5" customWidth="1"/>
    <col min="5638" max="5638" width="10.625" customWidth="1"/>
    <col min="5639" max="5639" width="1.625" customWidth="1"/>
    <col min="5640" max="5640" width="16.625" customWidth="1"/>
    <col min="5641" max="5641" width="1.5" customWidth="1"/>
    <col min="5888" max="5888" width="26.5" customWidth="1"/>
    <col min="5889" max="5889" width="2" customWidth="1"/>
    <col min="5890" max="5890" width="11.625" customWidth="1"/>
    <col min="5891" max="5891" width="1.125" customWidth="1"/>
    <col min="5892" max="5892" width="10.625" customWidth="1"/>
    <col min="5893" max="5893" width="1.5" customWidth="1"/>
    <col min="5894" max="5894" width="10.625" customWidth="1"/>
    <col min="5895" max="5895" width="1.625" customWidth="1"/>
    <col min="5896" max="5896" width="16.625" customWidth="1"/>
    <col min="5897" max="5897" width="1.5" customWidth="1"/>
    <col min="6144" max="6144" width="26.5" customWidth="1"/>
    <col min="6145" max="6145" width="2" customWidth="1"/>
    <col min="6146" max="6146" width="11.625" customWidth="1"/>
    <col min="6147" max="6147" width="1.125" customWidth="1"/>
    <col min="6148" max="6148" width="10.625" customWidth="1"/>
    <col min="6149" max="6149" width="1.5" customWidth="1"/>
    <col min="6150" max="6150" width="10.625" customWidth="1"/>
    <col min="6151" max="6151" width="1.625" customWidth="1"/>
    <col min="6152" max="6152" width="16.625" customWidth="1"/>
    <col min="6153" max="6153" width="1.5" customWidth="1"/>
    <col min="6400" max="6400" width="26.5" customWidth="1"/>
    <col min="6401" max="6401" width="2" customWidth="1"/>
    <col min="6402" max="6402" width="11.625" customWidth="1"/>
    <col min="6403" max="6403" width="1.125" customWidth="1"/>
    <col min="6404" max="6404" width="10.625" customWidth="1"/>
    <col min="6405" max="6405" width="1.5" customWidth="1"/>
    <col min="6406" max="6406" width="10.625" customWidth="1"/>
    <col min="6407" max="6407" width="1.625" customWidth="1"/>
    <col min="6408" max="6408" width="16.625" customWidth="1"/>
    <col min="6409" max="6409" width="1.5" customWidth="1"/>
    <col min="6656" max="6656" width="26.5" customWidth="1"/>
    <col min="6657" max="6657" width="2" customWidth="1"/>
    <col min="6658" max="6658" width="11.625" customWidth="1"/>
    <col min="6659" max="6659" width="1.125" customWidth="1"/>
    <col min="6660" max="6660" width="10.625" customWidth="1"/>
    <col min="6661" max="6661" width="1.5" customWidth="1"/>
    <col min="6662" max="6662" width="10.625" customWidth="1"/>
    <col min="6663" max="6663" width="1.625" customWidth="1"/>
    <col min="6664" max="6664" width="16.625" customWidth="1"/>
    <col min="6665" max="6665" width="1.5" customWidth="1"/>
    <col min="6912" max="6912" width="26.5" customWidth="1"/>
    <col min="6913" max="6913" width="2" customWidth="1"/>
    <col min="6914" max="6914" width="11.625" customWidth="1"/>
    <col min="6915" max="6915" width="1.125" customWidth="1"/>
    <col min="6916" max="6916" width="10.625" customWidth="1"/>
    <col min="6917" max="6917" width="1.5" customWidth="1"/>
    <col min="6918" max="6918" width="10.625" customWidth="1"/>
    <col min="6919" max="6919" width="1.625" customWidth="1"/>
    <col min="6920" max="6920" width="16.625" customWidth="1"/>
    <col min="6921" max="6921" width="1.5" customWidth="1"/>
    <col min="7168" max="7168" width="26.5" customWidth="1"/>
    <col min="7169" max="7169" width="2" customWidth="1"/>
    <col min="7170" max="7170" width="11.625" customWidth="1"/>
    <col min="7171" max="7171" width="1.125" customWidth="1"/>
    <col min="7172" max="7172" width="10.625" customWidth="1"/>
    <col min="7173" max="7173" width="1.5" customWidth="1"/>
    <col min="7174" max="7174" width="10.625" customWidth="1"/>
    <col min="7175" max="7175" width="1.625" customWidth="1"/>
    <col min="7176" max="7176" width="16.625" customWidth="1"/>
    <col min="7177" max="7177" width="1.5" customWidth="1"/>
    <col min="7424" max="7424" width="26.5" customWidth="1"/>
    <col min="7425" max="7425" width="2" customWidth="1"/>
    <col min="7426" max="7426" width="11.625" customWidth="1"/>
    <col min="7427" max="7427" width="1.125" customWidth="1"/>
    <col min="7428" max="7428" width="10.625" customWidth="1"/>
    <col min="7429" max="7429" width="1.5" customWidth="1"/>
    <col min="7430" max="7430" width="10.625" customWidth="1"/>
    <col min="7431" max="7431" width="1.625" customWidth="1"/>
    <col min="7432" max="7432" width="16.625" customWidth="1"/>
    <col min="7433" max="7433" width="1.5" customWidth="1"/>
    <col min="7680" max="7680" width="26.5" customWidth="1"/>
    <col min="7681" max="7681" width="2" customWidth="1"/>
    <col min="7682" max="7682" width="11.625" customWidth="1"/>
    <col min="7683" max="7683" width="1.125" customWidth="1"/>
    <col min="7684" max="7684" width="10.625" customWidth="1"/>
    <col min="7685" max="7685" width="1.5" customWidth="1"/>
    <col min="7686" max="7686" width="10.625" customWidth="1"/>
    <col min="7687" max="7687" width="1.625" customWidth="1"/>
    <col min="7688" max="7688" width="16.625" customWidth="1"/>
    <col min="7689" max="7689" width="1.5" customWidth="1"/>
    <col min="7936" max="7936" width="26.5" customWidth="1"/>
    <col min="7937" max="7937" width="2" customWidth="1"/>
    <col min="7938" max="7938" width="11.625" customWidth="1"/>
    <col min="7939" max="7939" width="1.125" customWidth="1"/>
    <col min="7940" max="7940" width="10.625" customWidth="1"/>
    <col min="7941" max="7941" width="1.5" customWidth="1"/>
    <col min="7942" max="7942" width="10.625" customWidth="1"/>
    <col min="7943" max="7943" width="1.625" customWidth="1"/>
    <col min="7944" max="7944" width="16.625" customWidth="1"/>
    <col min="7945" max="7945" width="1.5" customWidth="1"/>
    <col min="8192" max="8192" width="26.5" customWidth="1"/>
    <col min="8193" max="8193" width="2" customWidth="1"/>
    <col min="8194" max="8194" width="11.625" customWidth="1"/>
    <col min="8195" max="8195" width="1.125" customWidth="1"/>
    <col min="8196" max="8196" width="10.625" customWidth="1"/>
    <col min="8197" max="8197" width="1.5" customWidth="1"/>
    <col min="8198" max="8198" width="10.625" customWidth="1"/>
    <col min="8199" max="8199" width="1.625" customWidth="1"/>
    <col min="8200" max="8200" width="16.625" customWidth="1"/>
    <col min="8201" max="8201" width="1.5" customWidth="1"/>
    <col min="8448" max="8448" width="26.5" customWidth="1"/>
    <col min="8449" max="8449" width="2" customWidth="1"/>
    <col min="8450" max="8450" width="11.625" customWidth="1"/>
    <col min="8451" max="8451" width="1.125" customWidth="1"/>
    <col min="8452" max="8452" width="10.625" customWidth="1"/>
    <col min="8453" max="8453" width="1.5" customWidth="1"/>
    <col min="8454" max="8454" width="10.625" customWidth="1"/>
    <col min="8455" max="8455" width="1.625" customWidth="1"/>
    <col min="8456" max="8456" width="16.625" customWidth="1"/>
    <col min="8457" max="8457" width="1.5" customWidth="1"/>
    <col min="8704" max="8704" width="26.5" customWidth="1"/>
    <col min="8705" max="8705" width="2" customWidth="1"/>
    <col min="8706" max="8706" width="11.625" customWidth="1"/>
    <col min="8707" max="8707" width="1.125" customWidth="1"/>
    <col min="8708" max="8708" width="10.625" customWidth="1"/>
    <col min="8709" max="8709" width="1.5" customWidth="1"/>
    <col min="8710" max="8710" width="10.625" customWidth="1"/>
    <col min="8711" max="8711" width="1.625" customWidth="1"/>
    <col min="8712" max="8712" width="16.625" customWidth="1"/>
    <col min="8713" max="8713" width="1.5" customWidth="1"/>
    <col min="8960" max="8960" width="26.5" customWidth="1"/>
    <col min="8961" max="8961" width="2" customWidth="1"/>
    <col min="8962" max="8962" width="11.625" customWidth="1"/>
    <col min="8963" max="8963" width="1.125" customWidth="1"/>
    <col min="8964" max="8964" width="10.625" customWidth="1"/>
    <col min="8965" max="8965" width="1.5" customWidth="1"/>
    <col min="8966" max="8966" width="10.625" customWidth="1"/>
    <col min="8967" max="8967" width="1.625" customWidth="1"/>
    <col min="8968" max="8968" width="16.625" customWidth="1"/>
    <col min="8969" max="8969" width="1.5" customWidth="1"/>
    <col min="9216" max="9216" width="26.5" customWidth="1"/>
    <col min="9217" max="9217" width="2" customWidth="1"/>
    <col min="9218" max="9218" width="11.625" customWidth="1"/>
    <col min="9219" max="9219" width="1.125" customWidth="1"/>
    <col min="9220" max="9220" width="10.625" customWidth="1"/>
    <col min="9221" max="9221" width="1.5" customWidth="1"/>
    <col min="9222" max="9222" width="10.625" customWidth="1"/>
    <col min="9223" max="9223" width="1.625" customWidth="1"/>
    <col min="9224" max="9224" width="16.625" customWidth="1"/>
    <col min="9225" max="9225" width="1.5" customWidth="1"/>
    <col min="9472" max="9472" width="26.5" customWidth="1"/>
    <col min="9473" max="9473" width="2" customWidth="1"/>
    <col min="9474" max="9474" width="11.625" customWidth="1"/>
    <col min="9475" max="9475" width="1.125" customWidth="1"/>
    <col min="9476" max="9476" width="10.625" customWidth="1"/>
    <col min="9477" max="9477" width="1.5" customWidth="1"/>
    <col min="9478" max="9478" width="10.625" customWidth="1"/>
    <col min="9479" max="9479" width="1.625" customWidth="1"/>
    <col min="9480" max="9480" width="16.625" customWidth="1"/>
    <col min="9481" max="9481" width="1.5" customWidth="1"/>
    <col min="9728" max="9728" width="26.5" customWidth="1"/>
    <col min="9729" max="9729" width="2" customWidth="1"/>
    <col min="9730" max="9730" width="11.625" customWidth="1"/>
    <col min="9731" max="9731" width="1.125" customWidth="1"/>
    <col min="9732" max="9732" width="10.625" customWidth="1"/>
    <col min="9733" max="9733" width="1.5" customWidth="1"/>
    <col min="9734" max="9734" width="10.625" customWidth="1"/>
    <col min="9735" max="9735" width="1.625" customWidth="1"/>
    <col min="9736" max="9736" width="16.625" customWidth="1"/>
    <col min="9737" max="9737" width="1.5" customWidth="1"/>
    <col min="9984" max="9984" width="26.5" customWidth="1"/>
    <col min="9985" max="9985" width="2" customWidth="1"/>
    <col min="9986" max="9986" width="11.625" customWidth="1"/>
    <col min="9987" max="9987" width="1.125" customWidth="1"/>
    <col min="9988" max="9988" width="10.625" customWidth="1"/>
    <col min="9989" max="9989" width="1.5" customWidth="1"/>
    <col min="9990" max="9990" width="10.625" customWidth="1"/>
    <col min="9991" max="9991" width="1.625" customWidth="1"/>
    <col min="9992" max="9992" width="16.625" customWidth="1"/>
    <col min="9993" max="9993" width="1.5" customWidth="1"/>
    <col min="10240" max="10240" width="26.5" customWidth="1"/>
    <col min="10241" max="10241" width="2" customWidth="1"/>
    <col min="10242" max="10242" width="11.625" customWidth="1"/>
    <col min="10243" max="10243" width="1.125" customWidth="1"/>
    <col min="10244" max="10244" width="10.625" customWidth="1"/>
    <col min="10245" max="10245" width="1.5" customWidth="1"/>
    <col min="10246" max="10246" width="10.625" customWidth="1"/>
    <col min="10247" max="10247" width="1.625" customWidth="1"/>
    <col min="10248" max="10248" width="16.625" customWidth="1"/>
    <col min="10249" max="10249" width="1.5" customWidth="1"/>
    <col min="10496" max="10496" width="26.5" customWidth="1"/>
    <col min="10497" max="10497" width="2" customWidth="1"/>
    <col min="10498" max="10498" width="11.625" customWidth="1"/>
    <col min="10499" max="10499" width="1.125" customWidth="1"/>
    <col min="10500" max="10500" width="10.625" customWidth="1"/>
    <col min="10501" max="10501" width="1.5" customWidth="1"/>
    <col min="10502" max="10502" width="10.625" customWidth="1"/>
    <col min="10503" max="10503" width="1.625" customWidth="1"/>
    <col min="10504" max="10504" width="16.625" customWidth="1"/>
    <col min="10505" max="10505" width="1.5" customWidth="1"/>
    <col min="10752" max="10752" width="26.5" customWidth="1"/>
    <col min="10753" max="10753" width="2" customWidth="1"/>
    <col min="10754" max="10754" width="11.625" customWidth="1"/>
    <col min="10755" max="10755" width="1.125" customWidth="1"/>
    <col min="10756" max="10756" width="10.625" customWidth="1"/>
    <col min="10757" max="10757" width="1.5" customWidth="1"/>
    <col min="10758" max="10758" width="10.625" customWidth="1"/>
    <col min="10759" max="10759" width="1.625" customWidth="1"/>
    <col min="10760" max="10760" width="16.625" customWidth="1"/>
    <col min="10761" max="10761" width="1.5" customWidth="1"/>
    <col min="11008" max="11008" width="26.5" customWidth="1"/>
    <col min="11009" max="11009" width="2" customWidth="1"/>
    <col min="11010" max="11010" width="11.625" customWidth="1"/>
    <col min="11011" max="11011" width="1.125" customWidth="1"/>
    <col min="11012" max="11012" width="10.625" customWidth="1"/>
    <col min="11013" max="11013" width="1.5" customWidth="1"/>
    <col min="11014" max="11014" width="10.625" customWidth="1"/>
    <col min="11015" max="11015" width="1.625" customWidth="1"/>
    <col min="11016" max="11016" width="16.625" customWidth="1"/>
    <col min="11017" max="11017" width="1.5" customWidth="1"/>
    <col min="11264" max="11264" width="26.5" customWidth="1"/>
    <col min="11265" max="11265" width="2" customWidth="1"/>
    <col min="11266" max="11266" width="11.625" customWidth="1"/>
    <col min="11267" max="11267" width="1.125" customWidth="1"/>
    <col min="11268" max="11268" width="10.625" customWidth="1"/>
    <col min="11269" max="11269" width="1.5" customWidth="1"/>
    <col min="11270" max="11270" width="10.625" customWidth="1"/>
    <col min="11271" max="11271" width="1.625" customWidth="1"/>
    <col min="11272" max="11272" width="16.625" customWidth="1"/>
    <col min="11273" max="11273" width="1.5" customWidth="1"/>
    <col min="11520" max="11520" width="26.5" customWidth="1"/>
    <col min="11521" max="11521" width="2" customWidth="1"/>
    <col min="11522" max="11522" width="11.625" customWidth="1"/>
    <col min="11523" max="11523" width="1.125" customWidth="1"/>
    <col min="11524" max="11524" width="10.625" customWidth="1"/>
    <col min="11525" max="11525" width="1.5" customWidth="1"/>
    <col min="11526" max="11526" width="10.625" customWidth="1"/>
    <col min="11527" max="11527" width="1.625" customWidth="1"/>
    <col min="11528" max="11528" width="16.625" customWidth="1"/>
    <col min="11529" max="11529" width="1.5" customWidth="1"/>
    <col min="11776" max="11776" width="26.5" customWidth="1"/>
    <col min="11777" max="11777" width="2" customWidth="1"/>
    <col min="11778" max="11778" width="11.625" customWidth="1"/>
    <col min="11779" max="11779" width="1.125" customWidth="1"/>
    <col min="11780" max="11780" width="10.625" customWidth="1"/>
    <col min="11781" max="11781" width="1.5" customWidth="1"/>
    <col min="11782" max="11782" width="10.625" customWidth="1"/>
    <col min="11783" max="11783" width="1.625" customWidth="1"/>
    <col min="11784" max="11784" width="16.625" customWidth="1"/>
    <col min="11785" max="11785" width="1.5" customWidth="1"/>
    <col min="12032" max="12032" width="26.5" customWidth="1"/>
    <col min="12033" max="12033" width="2" customWidth="1"/>
    <col min="12034" max="12034" width="11.625" customWidth="1"/>
    <col min="12035" max="12035" width="1.125" customWidth="1"/>
    <col min="12036" max="12036" width="10.625" customWidth="1"/>
    <col min="12037" max="12037" width="1.5" customWidth="1"/>
    <col min="12038" max="12038" width="10.625" customWidth="1"/>
    <col min="12039" max="12039" width="1.625" customWidth="1"/>
    <col min="12040" max="12040" width="16.625" customWidth="1"/>
    <col min="12041" max="12041" width="1.5" customWidth="1"/>
    <col min="12288" max="12288" width="26.5" customWidth="1"/>
    <col min="12289" max="12289" width="2" customWidth="1"/>
    <col min="12290" max="12290" width="11.625" customWidth="1"/>
    <col min="12291" max="12291" width="1.125" customWidth="1"/>
    <col min="12292" max="12292" width="10.625" customWidth="1"/>
    <col min="12293" max="12293" width="1.5" customWidth="1"/>
    <col min="12294" max="12294" width="10.625" customWidth="1"/>
    <col min="12295" max="12295" width="1.625" customWidth="1"/>
    <col min="12296" max="12296" width="16.625" customWidth="1"/>
    <col min="12297" max="12297" width="1.5" customWidth="1"/>
    <col min="12544" max="12544" width="26.5" customWidth="1"/>
    <col min="12545" max="12545" width="2" customWidth="1"/>
    <col min="12546" max="12546" width="11.625" customWidth="1"/>
    <col min="12547" max="12547" width="1.125" customWidth="1"/>
    <col min="12548" max="12548" width="10.625" customWidth="1"/>
    <col min="12549" max="12549" width="1.5" customWidth="1"/>
    <col min="12550" max="12550" width="10.625" customWidth="1"/>
    <col min="12551" max="12551" width="1.625" customWidth="1"/>
    <col min="12552" max="12552" width="16.625" customWidth="1"/>
    <col min="12553" max="12553" width="1.5" customWidth="1"/>
    <col min="12800" max="12800" width="26.5" customWidth="1"/>
    <col min="12801" max="12801" width="2" customWidth="1"/>
    <col min="12802" max="12802" width="11.625" customWidth="1"/>
    <col min="12803" max="12803" width="1.125" customWidth="1"/>
    <col min="12804" max="12804" width="10.625" customWidth="1"/>
    <col min="12805" max="12805" width="1.5" customWidth="1"/>
    <col min="12806" max="12806" width="10.625" customWidth="1"/>
    <col min="12807" max="12807" width="1.625" customWidth="1"/>
    <col min="12808" max="12808" width="16.625" customWidth="1"/>
    <col min="12809" max="12809" width="1.5" customWidth="1"/>
    <col min="13056" max="13056" width="26.5" customWidth="1"/>
    <col min="13057" max="13057" width="2" customWidth="1"/>
    <col min="13058" max="13058" width="11.625" customWidth="1"/>
    <col min="13059" max="13059" width="1.125" customWidth="1"/>
    <col min="13060" max="13060" width="10.625" customWidth="1"/>
    <col min="13061" max="13061" width="1.5" customWidth="1"/>
    <col min="13062" max="13062" width="10.625" customWidth="1"/>
    <col min="13063" max="13063" width="1.625" customWidth="1"/>
    <col min="13064" max="13064" width="16.625" customWidth="1"/>
    <col min="13065" max="13065" width="1.5" customWidth="1"/>
    <col min="13312" max="13312" width="26.5" customWidth="1"/>
    <col min="13313" max="13313" width="2" customWidth="1"/>
    <col min="13314" max="13314" width="11.625" customWidth="1"/>
    <col min="13315" max="13315" width="1.125" customWidth="1"/>
    <col min="13316" max="13316" width="10.625" customWidth="1"/>
    <col min="13317" max="13317" width="1.5" customWidth="1"/>
    <col min="13318" max="13318" width="10.625" customWidth="1"/>
    <col min="13319" max="13319" width="1.625" customWidth="1"/>
    <col min="13320" max="13320" width="16.625" customWidth="1"/>
    <col min="13321" max="13321" width="1.5" customWidth="1"/>
    <col min="13568" max="13568" width="26.5" customWidth="1"/>
    <col min="13569" max="13569" width="2" customWidth="1"/>
    <col min="13570" max="13570" width="11.625" customWidth="1"/>
    <col min="13571" max="13571" width="1.125" customWidth="1"/>
    <col min="13572" max="13572" width="10.625" customWidth="1"/>
    <col min="13573" max="13573" width="1.5" customWidth="1"/>
    <col min="13574" max="13574" width="10.625" customWidth="1"/>
    <col min="13575" max="13575" width="1.625" customWidth="1"/>
    <col min="13576" max="13576" width="16.625" customWidth="1"/>
    <col min="13577" max="13577" width="1.5" customWidth="1"/>
    <col min="13824" max="13824" width="26.5" customWidth="1"/>
    <col min="13825" max="13825" width="2" customWidth="1"/>
    <col min="13826" max="13826" width="11.625" customWidth="1"/>
    <col min="13827" max="13827" width="1.125" customWidth="1"/>
    <col min="13828" max="13828" width="10.625" customWidth="1"/>
    <col min="13829" max="13829" width="1.5" customWidth="1"/>
    <col min="13830" max="13830" width="10.625" customWidth="1"/>
    <col min="13831" max="13831" width="1.625" customWidth="1"/>
    <col min="13832" max="13832" width="16.625" customWidth="1"/>
    <col min="13833" max="13833" width="1.5" customWidth="1"/>
    <col min="14080" max="14080" width="26.5" customWidth="1"/>
    <col min="14081" max="14081" width="2" customWidth="1"/>
    <col min="14082" max="14082" width="11.625" customWidth="1"/>
    <col min="14083" max="14083" width="1.125" customWidth="1"/>
    <col min="14084" max="14084" width="10.625" customWidth="1"/>
    <col min="14085" max="14085" width="1.5" customWidth="1"/>
    <col min="14086" max="14086" width="10.625" customWidth="1"/>
    <col min="14087" max="14087" width="1.625" customWidth="1"/>
    <col min="14088" max="14088" width="16.625" customWidth="1"/>
    <col min="14089" max="14089" width="1.5" customWidth="1"/>
    <col min="14336" max="14336" width="26.5" customWidth="1"/>
    <col min="14337" max="14337" width="2" customWidth="1"/>
    <col min="14338" max="14338" width="11.625" customWidth="1"/>
    <col min="14339" max="14339" width="1.125" customWidth="1"/>
    <col min="14340" max="14340" width="10.625" customWidth="1"/>
    <col min="14341" max="14341" width="1.5" customWidth="1"/>
    <col min="14342" max="14342" width="10.625" customWidth="1"/>
    <col min="14343" max="14343" width="1.625" customWidth="1"/>
    <col min="14344" max="14344" width="16.625" customWidth="1"/>
    <col min="14345" max="14345" width="1.5" customWidth="1"/>
    <col min="14592" max="14592" width="26.5" customWidth="1"/>
    <col min="14593" max="14593" width="2" customWidth="1"/>
    <col min="14594" max="14594" width="11.625" customWidth="1"/>
    <col min="14595" max="14595" width="1.125" customWidth="1"/>
    <col min="14596" max="14596" width="10.625" customWidth="1"/>
    <col min="14597" max="14597" width="1.5" customWidth="1"/>
    <col min="14598" max="14598" width="10.625" customWidth="1"/>
    <col min="14599" max="14599" width="1.625" customWidth="1"/>
    <col min="14600" max="14600" width="16.625" customWidth="1"/>
    <col min="14601" max="14601" width="1.5" customWidth="1"/>
    <col min="14848" max="14848" width="26.5" customWidth="1"/>
    <col min="14849" max="14849" width="2" customWidth="1"/>
    <col min="14850" max="14850" width="11.625" customWidth="1"/>
    <col min="14851" max="14851" width="1.125" customWidth="1"/>
    <col min="14852" max="14852" width="10.625" customWidth="1"/>
    <col min="14853" max="14853" width="1.5" customWidth="1"/>
    <col min="14854" max="14854" width="10.625" customWidth="1"/>
    <col min="14855" max="14855" width="1.625" customWidth="1"/>
    <col min="14856" max="14856" width="16.625" customWidth="1"/>
    <col min="14857" max="14857" width="1.5" customWidth="1"/>
    <col min="15104" max="15104" width="26.5" customWidth="1"/>
    <col min="15105" max="15105" width="2" customWidth="1"/>
    <col min="15106" max="15106" width="11.625" customWidth="1"/>
    <col min="15107" max="15107" width="1.125" customWidth="1"/>
    <col min="15108" max="15108" width="10.625" customWidth="1"/>
    <col min="15109" max="15109" width="1.5" customWidth="1"/>
    <col min="15110" max="15110" width="10.625" customWidth="1"/>
    <col min="15111" max="15111" width="1.625" customWidth="1"/>
    <col min="15112" max="15112" width="16.625" customWidth="1"/>
    <col min="15113" max="15113" width="1.5" customWidth="1"/>
    <col min="15360" max="15360" width="26.5" customWidth="1"/>
    <col min="15361" max="15361" width="2" customWidth="1"/>
    <col min="15362" max="15362" width="11.625" customWidth="1"/>
    <col min="15363" max="15363" width="1.125" customWidth="1"/>
    <col min="15364" max="15364" width="10.625" customWidth="1"/>
    <col min="15365" max="15365" width="1.5" customWidth="1"/>
    <col min="15366" max="15366" width="10.625" customWidth="1"/>
    <col min="15367" max="15367" width="1.625" customWidth="1"/>
    <col min="15368" max="15368" width="16.625" customWidth="1"/>
    <col min="15369" max="15369" width="1.5" customWidth="1"/>
    <col min="15616" max="15616" width="26.5" customWidth="1"/>
    <col min="15617" max="15617" width="2" customWidth="1"/>
    <col min="15618" max="15618" width="11.625" customWidth="1"/>
    <col min="15619" max="15619" width="1.125" customWidth="1"/>
    <col min="15620" max="15620" width="10.625" customWidth="1"/>
    <col min="15621" max="15621" width="1.5" customWidth="1"/>
    <col min="15622" max="15622" width="10.625" customWidth="1"/>
    <col min="15623" max="15623" width="1.625" customWidth="1"/>
    <col min="15624" max="15624" width="16.625" customWidth="1"/>
    <col min="15625" max="15625" width="1.5" customWidth="1"/>
    <col min="15872" max="15872" width="26.5" customWidth="1"/>
    <col min="15873" max="15873" width="2" customWidth="1"/>
    <col min="15874" max="15874" width="11.625" customWidth="1"/>
    <col min="15875" max="15875" width="1.125" customWidth="1"/>
    <col min="15876" max="15876" width="10.625" customWidth="1"/>
    <col min="15877" max="15877" width="1.5" customWidth="1"/>
    <col min="15878" max="15878" width="10.625" customWidth="1"/>
    <col min="15879" max="15879" width="1.625" customWidth="1"/>
    <col min="15880" max="15880" width="16.625" customWidth="1"/>
    <col min="15881" max="15881" width="1.5" customWidth="1"/>
    <col min="16128" max="16128" width="26.5" customWidth="1"/>
    <col min="16129" max="16129" width="2" customWidth="1"/>
    <col min="16130" max="16130" width="11.625" customWidth="1"/>
    <col min="16131" max="16131" width="1.125" customWidth="1"/>
    <col min="16132" max="16132" width="10.625" customWidth="1"/>
    <col min="16133" max="16133" width="1.5" customWidth="1"/>
    <col min="16134" max="16134" width="10.625" customWidth="1"/>
    <col min="16135" max="16135" width="1.625" customWidth="1"/>
    <col min="16136" max="16136" width="16.625" customWidth="1"/>
    <col min="16137" max="16137" width="1.5" customWidth="1"/>
  </cols>
  <sheetData>
    <row r="1" spans="1:22" x14ac:dyDescent="0.25">
      <c r="A1" s="93" t="s">
        <v>0</v>
      </c>
      <c r="B1" s="22"/>
      <c r="C1" s="22"/>
      <c r="D1" s="22"/>
      <c r="E1" s="87"/>
      <c r="F1" s="22"/>
      <c r="G1" s="73"/>
      <c r="H1" s="22"/>
      <c r="I1" s="65"/>
      <c r="J1" s="22"/>
      <c r="K1" s="22"/>
      <c r="L1" s="22"/>
      <c r="M1" s="22"/>
      <c r="N1" s="22"/>
      <c r="O1" s="22"/>
      <c r="P1" s="22"/>
    </row>
    <row r="2" spans="1:22" x14ac:dyDescent="0.25">
      <c r="A2" s="88" t="s">
        <v>85</v>
      </c>
      <c r="B2" s="22"/>
      <c r="C2" s="22"/>
      <c r="D2" s="22"/>
      <c r="E2" s="89">
        <v>400</v>
      </c>
      <c r="F2" s="22"/>
      <c r="G2" s="243"/>
      <c r="H2" s="243"/>
      <c r="I2" s="243"/>
      <c r="J2" s="22"/>
      <c r="K2" s="98"/>
      <c r="L2" s="98"/>
      <c r="M2" s="98"/>
      <c r="N2" s="90"/>
      <c r="O2" s="98"/>
      <c r="P2" s="90"/>
    </row>
    <row r="3" spans="1:22" ht="19.5" x14ac:dyDescent="0.3">
      <c r="A3" s="244" t="s">
        <v>219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91"/>
      <c r="P3" s="91"/>
    </row>
    <row r="4" spans="1:22" ht="19.5" x14ac:dyDescent="0.3">
      <c r="A4" s="245" t="s">
        <v>190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92"/>
    </row>
    <row r="5" spans="1:22" x14ac:dyDescent="0.25">
      <c r="A5" s="111"/>
      <c r="B5" s="111"/>
      <c r="C5" s="111"/>
      <c r="D5" s="111"/>
      <c r="E5" s="111"/>
      <c r="F5" s="111"/>
      <c r="G5" s="111"/>
      <c r="H5" s="111"/>
      <c r="I5" s="111" t="s">
        <v>151</v>
      </c>
      <c r="J5" s="111"/>
      <c r="K5" s="111" t="s">
        <v>151</v>
      </c>
      <c r="L5" s="111"/>
      <c r="M5" s="111" t="s">
        <v>151</v>
      </c>
      <c r="N5" s="111"/>
      <c r="O5" s="111" t="s">
        <v>151</v>
      </c>
      <c r="P5" s="111"/>
    </row>
    <row r="6" spans="1:22" x14ac:dyDescent="0.25">
      <c r="A6" s="117"/>
      <c r="B6" s="117"/>
      <c r="C6" s="117" t="s">
        <v>35</v>
      </c>
      <c r="D6" s="117"/>
      <c r="E6" s="117" t="s">
        <v>1</v>
      </c>
      <c r="F6" s="117"/>
      <c r="G6" s="117" t="s">
        <v>3</v>
      </c>
      <c r="H6" s="117"/>
      <c r="I6" s="117" t="s">
        <v>4</v>
      </c>
      <c r="J6" s="117"/>
      <c r="K6" s="117" t="s">
        <v>4</v>
      </c>
      <c r="L6" s="117"/>
      <c r="M6" s="117" t="s">
        <v>4</v>
      </c>
      <c r="N6" s="117"/>
      <c r="O6" s="117" t="s">
        <v>4</v>
      </c>
      <c r="P6" s="117"/>
    </row>
    <row r="7" spans="1:22" x14ac:dyDescent="0.25">
      <c r="A7" s="114"/>
      <c r="B7" s="114"/>
      <c r="C7" s="114" t="s">
        <v>36</v>
      </c>
      <c r="D7" s="114"/>
      <c r="E7" s="114" t="s">
        <v>84</v>
      </c>
      <c r="F7" s="114"/>
      <c r="G7" s="114"/>
      <c r="H7" s="114"/>
      <c r="I7" s="114" t="s">
        <v>114</v>
      </c>
      <c r="J7" s="114"/>
      <c r="K7" s="114" t="s">
        <v>195</v>
      </c>
      <c r="L7" s="114"/>
      <c r="M7" s="114" t="s">
        <v>202</v>
      </c>
      <c r="N7" s="114"/>
      <c r="O7" s="114" t="s">
        <v>203</v>
      </c>
      <c r="P7" s="114"/>
    </row>
    <row r="8" spans="1:22" x14ac:dyDescent="0.25">
      <c r="A8" s="118"/>
      <c r="B8" s="118"/>
      <c r="C8" s="118"/>
      <c r="D8" s="118"/>
      <c r="E8" s="118"/>
      <c r="F8" s="118"/>
      <c r="G8" s="119"/>
      <c r="H8" s="118"/>
      <c r="I8" s="120"/>
      <c r="J8" s="118"/>
      <c r="K8" s="121"/>
      <c r="L8" s="121"/>
      <c r="M8" s="122"/>
      <c r="N8" s="118"/>
      <c r="O8" s="122"/>
      <c r="P8" s="118"/>
    </row>
    <row r="9" spans="1:22" x14ac:dyDescent="0.25">
      <c r="A9" s="123" t="s">
        <v>5</v>
      </c>
      <c r="B9" s="124"/>
      <c r="C9" s="124"/>
      <c r="D9" s="124"/>
      <c r="E9" s="124"/>
      <c r="F9" s="124"/>
      <c r="G9" s="125"/>
      <c r="H9" s="124"/>
      <c r="I9" s="125"/>
      <c r="J9" s="124"/>
      <c r="K9" s="126">
        <f>M9/days</f>
        <v>3.4255616438356165</v>
      </c>
      <c r="L9" s="124"/>
      <c r="M9" s="127">
        <f>SUM(M10:M11)</f>
        <v>1250.33</v>
      </c>
      <c r="N9" s="128"/>
      <c r="O9" s="127">
        <f>SUM(O10:O11)</f>
        <v>500132</v>
      </c>
      <c r="P9" s="128"/>
    </row>
    <row r="10" spans="1:22" x14ac:dyDescent="0.25">
      <c r="A10" s="130" t="s">
        <v>30</v>
      </c>
      <c r="B10" s="124"/>
      <c r="C10" s="131">
        <v>310</v>
      </c>
      <c r="D10" s="124"/>
      <c r="E10" s="132">
        <v>1</v>
      </c>
      <c r="F10" s="124"/>
      <c r="G10" s="133" t="s">
        <v>17</v>
      </c>
      <c r="H10" s="124"/>
      <c r="I10" s="83">
        <v>1289</v>
      </c>
      <c r="J10" s="124"/>
      <c r="K10" s="134">
        <f>M10/days</f>
        <v>3.5315068493150683</v>
      </c>
      <c r="L10" s="124"/>
      <c r="M10" s="135">
        <v>1289</v>
      </c>
      <c r="N10" s="124"/>
      <c r="O10" s="135">
        <f>M10*Head</f>
        <v>515600</v>
      </c>
      <c r="P10" s="124"/>
    </row>
    <row r="11" spans="1:22" x14ac:dyDescent="0.25">
      <c r="A11" s="130" t="s">
        <v>193</v>
      </c>
      <c r="B11" s="124"/>
      <c r="C11" s="131"/>
      <c r="D11" s="124"/>
      <c r="E11" s="178">
        <v>0.03</v>
      </c>
      <c r="F11" s="124"/>
      <c r="G11" s="150" t="s">
        <v>52</v>
      </c>
      <c r="H11" s="124"/>
      <c r="I11" s="83">
        <v>1289</v>
      </c>
      <c r="J11" s="124"/>
      <c r="K11" s="134">
        <f>M11/days</f>
        <v>-0.10594520547945206</v>
      </c>
      <c r="L11" s="124"/>
      <c r="M11" s="135">
        <f>-E11*I11</f>
        <v>-38.67</v>
      </c>
      <c r="N11" s="124"/>
      <c r="O11" s="135">
        <f>M11*Head</f>
        <v>-15468</v>
      </c>
      <c r="P11" s="124"/>
    </row>
    <row r="12" spans="1:22" x14ac:dyDescent="0.25">
      <c r="A12" s="124"/>
      <c r="B12" s="124"/>
      <c r="C12" s="124"/>
      <c r="D12" s="124"/>
      <c r="E12" s="124"/>
      <c r="F12" s="124"/>
      <c r="G12" s="125"/>
      <c r="H12" s="124"/>
      <c r="I12" s="136"/>
      <c r="J12" s="124"/>
      <c r="K12" s="121"/>
      <c r="L12" s="124"/>
      <c r="M12" s="121"/>
      <c r="N12" s="124"/>
      <c r="O12" s="121"/>
      <c r="P12" s="124"/>
    </row>
    <row r="13" spans="1:22" x14ac:dyDescent="0.25">
      <c r="A13" s="137" t="s">
        <v>8</v>
      </c>
      <c r="B13" s="124"/>
      <c r="C13" s="124"/>
      <c r="D13" s="124"/>
      <c r="E13" s="124"/>
      <c r="F13" s="124"/>
      <c r="G13" s="125"/>
      <c r="H13" s="124"/>
      <c r="I13" s="136"/>
      <c r="J13" s="124"/>
      <c r="K13" s="121"/>
      <c r="L13" s="124"/>
      <c r="M13" s="121"/>
      <c r="N13" s="124"/>
      <c r="O13" s="121"/>
      <c r="P13" s="124"/>
    </row>
    <row r="14" spans="1:22" x14ac:dyDescent="0.25">
      <c r="A14" s="141" t="s">
        <v>20</v>
      </c>
      <c r="B14" s="124"/>
      <c r="C14" s="124"/>
      <c r="D14" s="124"/>
      <c r="E14" s="124"/>
      <c r="F14" s="124"/>
      <c r="G14" s="125"/>
      <c r="H14" s="124"/>
      <c r="I14" s="136"/>
      <c r="J14" s="124"/>
      <c r="K14" s="126"/>
      <c r="L14" s="142"/>
      <c r="M14" s="143"/>
      <c r="N14" s="128"/>
      <c r="O14" s="143"/>
      <c r="P14" s="128"/>
    </row>
    <row r="15" spans="1:22" x14ac:dyDescent="0.25">
      <c r="A15" s="124"/>
      <c r="B15" s="124"/>
      <c r="C15" s="124"/>
      <c r="D15" s="124"/>
      <c r="E15" s="124"/>
      <c r="F15" s="124"/>
      <c r="G15" s="125"/>
      <c r="H15" s="124"/>
      <c r="I15" s="136"/>
      <c r="J15" s="124"/>
      <c r="K15" s="121"/>
      <c r="L15" s="124"/>
      <c r="M15" s="121"/>
      <c r="N15" s="124"/>
      <c r="O15" s="121"/>
      <c r="P15" s="124"/>
    </row>
    <row r="16" spans="1:22" x14ac:dyDescent="0.25">
      <c r="A16" s="141" t="s">
        <v>191</v>
      </c>
      <c r="B16" s="124"/>
      <c r="C16" s="131">
        <v>30</v>
      </c>
      <c r="D16" s="124"/>
      <c r="E16" s="124"/>
      <c r="F16" s="124"/>
      <c r="G16" s="125"/>
      <c r="H16" s="124"/>
      <c r="I16" s="136"/>
      <c r="J16" s="124"/>
      <c r="K16" s="126">
        <f>SUM(K17:K20)</f>
        <v>1.8031000000000001</v>
      </c>
      <c r="L16" s="142"/>
      <c r="M16" s="126">
        <f>SUM(M17:M20)</f>
        <v>65.486999999999995</v>
      </c>
      <c r="N16" s="146"/>
      <c r="O16" s="127">
        <f>M16*Head</f>
        <v>26194.799999999999</v>
      </c>
      <c r="P16" s="128"/>
      <c r="Q16" s="96">
        <f>C16/315</f>
        <v>9.5238095238095233E-2</v>
      </c>
      <c r="R16" s="86">
        <f>$Q$16*K$16</f>
        <v>0.17172380952380953</v>
      </c>
      <c r="T16" s="86">
        <f>$Q$16*M$16</f>
        <v>6.2368571428571418</v>
      </c>
      <c r="V16" s="86">
        <f>$Q$16*O$16</f>
        <v>2494.7428571428568</v>
      </c>
    </row>
    <row r="17" spans="1:22" x14ac:dyDescent="0.25">
      <c r="A17" s="62" t="s">
        <v>31</v>
      </c>
      <c r="B17" s="124"/>
      <c r="C17" s="124"/>
      <c r="D17" s="124"/>
      <c r="E17" s="132">
        <v>30</v>
      </c>
      <c r="F17" s="124"/>
      <c r="G17" s="133" t="s">
        <v>21</v>
      </c>
      <c r="H17" s="124">
        <v>9</v>
      </c>
      <c r="I17" s="102">
        <f>cs_l</f>
        <v>0.03</v>
      </c>
      <c r="J17" s="124"/>
      <c r="K17" s="134">
        <f>I17*E17</f>
        <v>0.89999999999999991</v>
      </c>
      <c r="L17" s="124"/>
      <c r="M17" s="135">
        <f>I17*E17*$C$16</f>
        <v>26.999999999999996</v>
      </c>
      <c r="N17" s="124"/>
      <c r="O17" s="148">
        <f>M17*Head</f>
        <v>10799.999999999998</v>
      </c>
      <c r="P17" s="124"/>
    </row>
    <row r="18" spans="1:22" x14ac:dyDescent="0.25">
      <c r="A18" s="62" t="s">
        <v>23</v>
      </c>
      <c r="B18" s="124"/>
      <c r="C18" s="124"/>
      <c r="D18" s="124"/>
      <c r="E18" s="132">
        <v>9</v>
      </c>
      <c r="F18" s="124"/>
      <c r="G18" s="133" t="s">
        <v>21</v>
      </c>
      <c r="H18" s="124"/>
      <c r="I18" s="102">
        <f>ALFG_L</f>
        <v>0.111</v>
      </c>
      <c r="J18" s="124"/>
      <c r="K18" s="134">
        <f>I18*E18</f>
        <v>0.999</v>
      </c>
      <c r="L18" s="124"/>
      <c r="M18" s="135">
        <f>I18*E18*$C$16</f>
        <v>29.97</v>
      </c>
      <c r="N18" s="124"/>
      <c r="O18" s="148">
        <f>M18*Head</f>
        <v>11988</v>
      </c>
      <c r="P18" s="124"/>
    </row>
    <row r="19" spans="1:22" x14ac:dyDescent="0.25">
      <c r="A19" s="62" t="s">
        <v>29</v>
      </c>
      <c r="B19" s="124"/>
      <c r="C19" s="124"/>
      <c r="D19" s="124"/>
      <c r="E19" s="132">
        <v>0.2</v>
      </c>
      <c r="F19" s="124"/>
      <c r="G19" s="133" t="s">
        <v>21</v>
      </c>
      <c r="H19" s="124"/>
      <c r="I19" s="102">
        <f>hmin_l</f>
        <v>0.47</v>
      </c>
      <c r="J19" s="124"/>
      <c r="K19" s="134">
        <f>I19*E19</f>
        <v>9.4E-2</v>
      </c>
      <c r="L19" s="124"/>
      <c r="M19" s="135">
        <f>I19*E19*$C$16</f>
        <v>2.82</v>
      </c>
      <c r="N19" s="124"/>
      <c r="O19" s="148">
        <f>M19*Head</f>
        <v>1128</v>
      </c>
      <c r="P19" s="124"/>
    </row>
    <row r="20" spans="1:22" x14ac:dyDescent="0.25">
      <c r="A20" s="62" t="s">
        <v>194</v>
      </c>
      <c r="B20" s="124"/>
      <c r="C20" s="124" t="s">
        <v>164</v>
      </c>
      <c r="D20" s="124"/>
      <c r="E20" s="149">
        <v>0.1</v>
      </c>
      <c r="F20" s="124"/>
      <c r="G20" s="150" t="s">
        <v>52</v>
      </c>
      <c r="H20" s="124"/>
      <c r="I20" s="151">
        <f>SUM(K17:K18)</f>
        <v>1.899</v>
      </c>
      <c r="J20" s="124"/>
      <c r="K20" s="134">
        <f>-I20*E20</f>
        <v>-0.18990000000000001</v>
      </c>
      <c r="L20" s="124"/>
      <c r="M20" s="135">
        <f>I20*E20*C16</f>
        <v>5.6970000000000001</v>
      </c>
      <c r="N20" s="124"/>
      <c r="O20" s="148">
        <f>M20*Head</f>
        <v>2278.8000000000002</v>
      </c>
      <c r="P20" s="124"/>
    </row>
    <row r="21" spans="1:22" x14ac:dyDescent="0.25">
      <c r="A21" s="124"/>
      <c r="B21" s="124"/>
      <c r="C21" s="124"/>
      <c r="D21" s="124"/>
      <c r="E21" s="124"/>
      <c r="F21" s="124"/>
      <c r="G21" s="125"/>
      <c r="H21" s="124"/>
      <c r="I21" s="136"/>
      <c r="J21" s="124"/>
      <c r="K21" s="121"/>
      <c r="L21" s="124"/>
      <c r="M21" s="121"/>
      <c r="N21" s="124"/>
      <c r="O21" s="148"/>
      <c r="P21" s="124"/>
    </row>
    <row r="22" spans="1:22" x14ac:dyDescent="0.25">
      <c r="A22" s="141" t="s">
        <v>166</v>
      </c>
      <c r="B22" s="124"/>
      <c r="C22" s="131">
        <v>60</v>
      </c>
      <c r="D22" s="124"/>
      <c r="E22" s="124"/>
      <c r="F22" s="124"/>
      <c r="G22" s="125"/>
      <c r="H22" s="124"/>
      <c r="I22" s="136"/>
      <c r="J22" s="124"/>
      <c r="K22" s="126">
        <f>SUM(K23:K26)</f>
        <v>1.7464</v>
      </c>
      <c r="L22" s="142"/>
      <c r="M22" s="126">
        <f>SUM(M23:M26)</f>
        <v>126.816</v>
      </c>
      <c r="N22" s="146"/>
      <c r="O22" s="127">
        <f>M22*Head</f>
        <v>50726.400000000001</v>
      </c>
      <c r="P22" s="128"/>
      <c r="Q22" s="96">
        <f>C22/315</f>
        <v>0.19047619047619047</v>
      </c>
      <c r="R22" s="86">
        <f>$Q$22*K$22</f>
        <v>0.33264761904761903</v>
      </c>
      <c r="T22" s="86">
        <f>$Q$22*M$22</f>
        <v>24.155428571428569</v>
      </c>
      <c r="V22" s="86">
        <f>$Q$22*O$22</f>
        <v>9662.1714285714279</v>
      </c>
    </row>
    <row r="23" spans="1:22" x14ac:dyDescent="0.25">
      <c r="A23" s="62" t="s">
        <v>167</v>
      </c>
      <c r="B23" s="124"/>
      <c r="C23" s="124"/>
      <c r="D23" s="124"/>
      <c r="E23" s="132">
        <v>30</v>
      </c>
      <c r="F23" s="124"/>
      <c r="G23" s="133" t="s">
        <v>21</v>
      </c>
      <c r="H23" s="124">
        <v>9</v>
      </c>
      <c r="I23" s="102">
        <f>(cs_l+Can_l)/2</f>
        <v>2.0499999999999997E-2</v>
      </c>
      <c r="J23" s="124"/>
      <c r="K23" s="134">
        <f>I23*E23</f>
        <v>0.61499999999999988</v>
      </c>
      <c r="L23" s="124"/>
      <c r="M23" s="135">
        <f>I23*E23*$C$22</f>
        <v>36.899999999999991</v>
      </c>
      <c r="N23" s="124"/>
      <c r="O23" s="148">
        <f>M23*Head</f>
        <v>14759.999999999996</v>
      </c>
      <c r="P23" s="124"/>
    </row>
    <row r="24" spans="1:22" x14ac:dyDescent="0.25">
      <c r="A24" s="62" t="s">
        <v>23</v>
      </c>
      <c r="B24" s="124"/>
      <c r="C24" s="124"/>
      <c r="D24" s="124"/>
      <c r="E24" s="132">
        <v>11</v>
      </c>
      <c r="F24" s="124"/>
      <c r="G24" s="133" t="s">
        <v>21</v>
      </c>
      <c r="H24" s="124"/>
      <c r="I24" s="102">
        <f>ALFG_L</f>
        <v>0.111</v>
      </c>
      <c r="J24" s="124"/>
      <c r="K24" s="134">
        <f>I24*E24</f>
        <v>1.2210000000000001</v>
      </c>
      <c r="L24" s="124"/>
      <c r="M24" s="135">
        <f>I24*E24*$C$22</f>
        <v>73.260000000000005</v>
      </c>
      <c r="N24" s="124"/>
      <c r="O24" s="148">
        <f>M24*Head</f>
        <v>29304.000000000004</v>
      </c>
      <c r="P24" s="124"/>
    </row>
    <row r="25" spans="1:22" x14ac:dyDescent="0.25">
      <c r="A25" s="62" t="s">
        <v>29</v>
      </c>
      <c r="B25" s="124"/>
      <c r="C25" s="124"/>
      <c r="D25" s="124"/>
      <c r="E25" s="132">
        <v>0.2</v>
      </c>
      <c r="F25" s="124"/>
      <c r="G25" s="133" t="s">
        <v>21</v>
      </c>
      <c r="H25" s="124"/>
      <c r="I25" s="102">
        <f>hmin_l</f>
        <v>0.47</v>
      </c>
      <c r="J25" s="124"/>
      <c r="K25" s="134">
        <f>I25*E25</f>
        <v>9.4E-2</v>
      </c>
      <c r="L25" s="124"/>
      <c r="M25" s="135">
        <f>I25*E25*$C$22</f>
        <v>5.64</v>
      </c>
      <c r="N25" s="124"/>
      <c r="O25" s="148">
        <f>M25*Head</f>
        <v>2256</v>
      </c>
      <c r="P25" s="124"/>
    </row>
    <row r="26" spans="1:22" x14ac:dyDescent="0.25">
      <c r="A26" s="62" t="s">
        <v>194</v>
      </c>
      <c r="B26" s="124"/>
      <c r="C26" s="124" t="s">
        <v>164</v>
      </c>
      <c r="D26" s="124"/>
      <c r="E26" s="149">
        <v>0.1</v>
      </c>
      <c r="F26" s="124"/>
      <c r="G26" s="150" t="s">
        <v>52</v>
      </c>
      <c r="H26" s="124"/>
      <c r="I26" s="151">
        <f>SUM(K23:K24)</f>
        <v>1.8359999999999999</v>
      </c>
      <c r="J26" s="124"/>
      <c r="K26" s="134">
        <f>-I26*E26</f>
        <v>-0.18359999999999999</v>
      </c>
      <c r="L26" s="124"/>
      <c r="M26" s="135">
        <f>I26*E26*C22</f>
        <v>11.015999999999998</v>
      </c>
      <c r="N26" s="124"/>
      <c r="O26" s="148">
        <f>M26*Head</f>
        <v>4406.3999999999996</v>
      </c>
      <c r="P26" s="124"/>
    </row>
    <row r="27" spans="1:22" x14ac:dyDescent="0.25">
      <c r="A27" s="124"/>
      <c r="B27" s="124"/>
      <c r="C27" s="124"/>
      <c r="D27" s="124"/>
      <c r="E27" s="124"/>
      <c r="F27" s="124"/>
      <c r="G27" s="125"/>
      <c r="H27" s="124"/>
      <c r="I27" s="136"/>
      <c r="J27" s="124"/>
      <c r="K27" s="121"/>
      <c r="L27" s="124"/>
      <c r="M27" s="121"/>
      <c r="N27" s="124"/>
      <c r="O27" s="148"/>
      <c r="P27" s="124"/>
    </row>
    <row r="28" spans="1:22" x14ac:dyDescent="0.25">
      <c r="A28" s="141" t="s">
        <v>33</v>
      </c>
      <c r="B28" s="124"/>
      <c r="C28" s="131">
        <v>120</v>
      </c>
      <c r="D28" s="124"/>
      <c r="E28" s="124"/>
      <c r="F28" s="124"/>
      <c r="G28" s="125"/>
      <c r="H28" s="124"/>
      <c r="I28" s="136"/>
      <c r="J28" s="124"/>
      <c r="K28" s="126">
        <f>SUM(K29:K32)</f>
        <v>2.1189999999999998</v>
      </c>
      <c r="L28" s="142"/>
      <c r="M28" s="126">
        <f>SUM(M29:M32)</f>
        <v>167.64</v>
      </c>
      <c r="N28" s="146"/>
      <c r="O28" s="179">
        <f>SUM(O29:O32)</f>
        <v>67056</v>
      </c>
      <c r="P28" s="128"/>
      <c r="Q28" s="96">
        <f>C28/315</f>
        <v>0.38095238095238093</v>
      </c>
      <c r="R28" s="86">
        <f>$Q$28*K$28</f>
        <v>0.80723809523809509</v>
      </c>
      <c r="T28" s="86">
        <f>$Q$28*M$28</f>
        <v>63.862857142857138</v>
      </c>
      <c r="V28" s="86">
        <f>$Q$28*O$28</f>
        <v>25545.142857142855</v>
      </c>
    </row>
    <row r="29" spans="1:22" x14ac:dyDescent="0.25">
      <c r="A29" s="62" t="s">
        <v>167</v>
      </c>
      <c r="B29" s="124"/>
      <c r="C29" s="124"/>
      <c r="D29" s="124"/>
      <c r="E29" s="132">
        <v>40</v>
      </c>
      <c r="F29" s="124"/>
      <c r="G29" s="133" t="s">
        <v>21</v>
      </c>
      <c r="H29" s="124">
        <v>9</v>
      </c>
      <c r="I29" s="102">
        <f>(cs_l+Can_l)/2</f>
        <v>2.0499999999999997E-2</v>
      </c>
      <c r="J29" s="124"/>
      <c r="K29" s="134">
        <f>I29*E29</f>
        <v>0.81999999999999984</v>
      </c>
      <c r="L29" s="124"/>
      <c r="M29" s="135">
        <f>I29*E29*$C$22</f>
        <v>49.199999999999989</v>
      </c>
      <c r="N29" s="124"/>
      <c r="O29" s="148">
        <f>M29*Head</f>
        <v>19679.999999999996</v>
      </c>
      <c r="P29" s="124"/>
    </row>
    <row r="30" spans="1:22" x14ac:dyDescent="0.25">
      <c r="A30" s="62" t="s">
        <v>23</v>
      </c>
      <c r="B30" s="124"/>
      <c r="C30" s="124"/>
      <c r="D30" s="124"/>
      <c r="E30" s="132">
        <v>13</v>
      </c>
      <c r="F30" s="124"/>
      <c r="G30" s="133" t="s">
        <v>21</v>
      </c>
      <c r="H30" s="124"/>
      <c r="I30" s="102">
        <v>0.11</v>
      </c>
      <c r="J30" s="124"/>
      <c r="K30" s="134">
        <f>I30*E30</f>
        <v>1.43</v>
      </c>
      <c r="L30" s="124"/>
      <c r="M30" s="135">
        <f>I30*E30*$C$22</f>
        <v>85.8</v>
      </c>
      <c r="N30" s="124"/>
      <c r="O30" s="148">
        <f>M30*Head</f>
        <v>34320</v>
      </c>
      <c r="P30" s="124"/>
    </row>
    <row r="31" spans="1:22" x14ac:dyDescent="0.25">
      <c r="A31" s="62" t="s">
        <v>29</v>
      </c>
      <c r="B31" s="124"/>
      <c r="C31" s="124"/>
      <c r="D31" s="124"/>
      <c r="E31" s="132">
        <v>0.2</v>
      </c>
      <c r="F31" s="124"/>
      <c r="G31" s="133" t="s">
        <v>21</v>
      </c>
      <c r="H31" s="124"/>
      <c r="I31" s="102">
        <f>hmin_l</f>
        <v>0.47</v>
      </c>
      <c r="J31" s="124"/>
      <c r="K31" s="134">
        <f>I31*E31</f>
        <v>9.4E-2</v>
      </c>
      <c r="L31" s="124"/>
      <c r="M31" s="135">
        <f>I31*E31*$C$22</f>
        <v>5.64</v>
      </c>
      <c r="N31" s="124"/>
      <c r="O31" s="148">
        <f>M31*Head</f>
        <v>2256</v>
      </c>
      <c r="P31" s="124"/>
    </row>
    <row r="32" spans="1:22" x14ac:dyDescent="0.25">
      <c r="A32" s="62" t="s">
        <v>194</v>
      </c>
      <c r="B32" s="124"/>
      <c r="C32" s="124" t="s">
        <v>164</v>
      </c>
      <c r="D32" s="124"/>
      <c r="E32" s="149">
        <v>0.1</v>
      </c>
      <c r="F32" s="124"/>
      <c r="G32" s="150" t="s">
        <v>52</v>
      </c>
      <c r="H32" s="124"/>
      <c r="I32" s="151">
        <f>SUM(K29:K30)</f>
        <v>2.25</v>
      </c>
      <c r="J32" s="124"/>
      <c r="K32" s="134">
        <f>-I32*E32</f>
        <v>-0.22500000000000001</v>
      </c>
      <c r="L32" s="124"/>
      <c r="M32" s="135">
        <f>I32*E32*C28</f>
        <v>27</v>
      </c>
      <c r="N32" s="124"/>
      <c r="O32" s="148">
        <f>M32*Head</f>
        <v>10800</v>
      </c>
      <c r="P32" s="124"/>
    </row>
    <row r="33" spans="1:22" x14ac:dyDescent="0.25">
      <c r="A33" s="124"/>
      <c r="B33" s="124"/>
      <c r="C33" s="124"/>
      <c r="D33" s="124"/>
      <c r="E33" s="124"/>
      <c r="F33" s="124"/>
      <c r="G33" s="125"/>
      <c r="H33" s="124"/>
      <c r="I33" s="136"/>
      <c r="J33" s="124"/>
      <c r="K33" s="121"/>
      <c r="L33" s="124"/>
      <c r="M33" s="121"/>
      <c r="N33" s="124"/>
      <c r="O33" s="148"/>
      <c r="P33" s="124"/>
    </row>
    <row r="34" spans="1:22" x14ac:dyDescent="0.25">
      <c r="A34" s="141" t="s">
        <v>37</v>
      </c>
      <c r="B34" s="124"/>
      <c r="C34" s="131">
        <v>105</v>
      </c>
      <c r="D34" s="124"/>
      <c r="E34" s="124"/>
      <c r="F34" s="124"/>
      <c r="G34" s="125"/>
      <c r="H34" s="124"/>
      <c r="I34" s="136"/>
      <c r="J34" s="124"/>
      <c r="K34" s="126">
        <f>SUM(K35:K39)</f>
        <v>2.2943799999999999</v>
      </c>
      <c r="L34" s="142"/>
      <c r="M34" s="145">
        <f>K34*C34</f>
        <v>240.90989999999999</v>
      </c>
      <c r="N34" s="146"/>
      <c r="O34" s="127">
        <f t="shared" ref="O34:O39" si="0">M34*Head</f>
        <v>96363.959999999992</v>
      </c>
      <c r="P34" s="128"/>
      <c r="Q34" s="96">
        <f>C34/315</f>
        <v>0.33333333333333331</v>
      </c>
      <c r="R34" s="86">
        <f>$Q$34*K$34</f>
        <v>0.76479333333333321</v>
      </c>
      <c r="T34" s="86">
        <f>$Q$34*M$34</f>
        <v>80.303299999999993</v>
      </c>
      <c r="V34" s="86">
        <f>$Q$34*O$34</f>
        <v>32121.319999999996</v>
      </c>
    </row>
    <row r="35" spans="1:22" x14ac:dyDescent="0.25">
      <c r="A35" s="62" t="s">
        <v>168</v>
      </c>
      <c r="B35" s="124"/>
      <c r="C35" s="124"/>
      <c r="D35" s="124"/>
      <c r="E35" s="132">
        <v>40</v>
      </c>
      <c r="F35" s="124"/>
      <c r="G35" s="133" t="s">
        <v>21</v>
      </c>
      <c r="H35" s="124">
        <v>9</v>
      </c>
      <c r="I35" s="102">
        <f>Can_l</f>
        <v>1.0999999999999999E-2</v>
      </c>
      <c r="J35" s="124"/>
      <c r="K35" s="134">
        <f>I35*E35</f>
        <v>0.43999999999999995</v>
      </c>
      <c r="L35" s="124"/>
      <c r="M35" s="135">
        <f>I35*E35*$C$34</f>
        <v>46.199999999999996</v>
      </c>
      <c r="N35" s="124"/>
      <c r="O35" s="148">
        <f t="shared" si="0"/>
        <v>18480</v>
      </c>
      <c r="P35" s="124"/>
    </row>
    <row r="36" spans="1:22" x14ac:dyDescent="0.25">
      <c r="A36" s="62" t="s">
        <v>23</v>
      </c>
      <c r="B36" s="124"/>
      <c r="C36" s="124"/>
      <c r="D36" s="124"/>
      <c r="E36" s="132">
        <v>13</v>
      </c>
      <c r="F36" s="124"/>
      <c r="G36" s="133" t="s">
        <v>21</v>
      </c>
      <c r="H36" s="124"/>
      <c r="I36" s="102">
        <f>ALFG_L</f>
        <v>0.111</v>
      </c>
      <c r="J36" s="124"/>
      <c r="K36" s="134">
        <f>I36*E36</f>
        <v>1.4430000000000001</v>
      </c>
      <c r="L36" s="124"/>
      <c r="M36" s="135">
        <f>I36*E36*$C$34</f>
        <v>151.51500000000001</v>
      </c>
      <c r="N36" s="124"/>
      <c r="O36" s="148">
        <f t="shared" si="0"/>
        <v>60606.000000000007</v>
      </c>
      <c r="P36" s="124"/>
    </row>
    <row r="37" spans="1:22" x14ac:dyDescent="0.25">
      <c r="A37" s="62" t="s">
        <v>34</v>
      </c>
      <c r="B37" s="124"/>
      <c r="C37" s="124"/>
      <c r="D37" s="124"/>
      <c r="E37" s="132">
        <v>4</v>
      </c>
      <c r="F37" s="124"/>
      <c r="G37" s="133" t="s">
        <v>21</v>
      </c>
      <c r="H37" s="124"/>
      <c r="I37" s="102">
        <f>top_l</f>
        <v>0.13</v>
      </c>
      <c r="J37" s="124"/>
      <c r="K37" s="134">
        <f>I37*E37</f>
        <v>0.52</v>
      </c>
      <c r="L37" s="124"/>
      <c r="M37" s="135">
        <f>I37*E37*$C$34</f>
        <v>54.6</v>
      </c>
      <c r="N37" s="124"/>
      <c r="O37" s="148">
        <f t="shared" si="0"/>
        <v>21840</v>
      </c>
      <c r="P37" s="124"/>
    </row>
    <row r="38" spans="1:22" x14ac:dyDescent="0.25">
      <c r="A38" s="62" t="s">
        <v>29</v>
      </c>
      <c r="B38" s="124"/>
      <c r="C38" s="124"/>
      <c r="D38" s="124"/>
      <c r="E38" s="132">
        <v>0.16</v>
      </c>
      <c r="F38" s="124"/>
      <c r="G38" s="133" t="s">
        <v>21</v>
      </c>
      <c r="H38" s="124"/>
      <c r="I38" s="102">
        <f>min_l</f>
        <v>0.82299999999999995</v>
      </c>
      <c r="J38" s="124"/>
      <c r="K38" s="134">
        <f>I38*E38</f>
        <v>0.13167999999999999</v>
      </c>
      <c r="L38" s="124"/>
      <c r="M38" s="135">
        <f>I38*E38*$C$34</f>
        <v>13.8264</v>
      </c>
      <c r="N38" s="124"/>
      <c r="O38" s="148">
        <f t="shared" si="0"/>
        <v>5530.5599999999995</v>
      </c>
      <c r="P38" s="124"/>
    </row>
    <row r="39" spans="1:22" x14ac:dyDescent="0.25">
      <c r="A39" s="62" t="s">
        <v>194</v>
      </c>
      <c r="B39" s="124"/>
      <c r="C39" s="124" t="s">
        <v>164</v>
      </c>
      <c r="D39" s="124"/>
      <c r="E39" s="149">
        <v>0.1</v>
      </c>
      <c r="F39" s="124"/>
      <c r="G39" s="150" t="s">
        <v>52</v>
      </c>
      <c r="H39" s="124"/>
      <c r="I39" s="151">
        <f>SUM(K35:K37)</f>
        <v>2.403</v>
      </c>
      <c r="J39" s="124"/>
      <c r="K39" s="134">
        <f>-I39*E39</f>
        <v>-0.24030000000000001</v>
      </c>
      <c r="L39" s="124"/>
      <c r="M39" s="135">
        <f>I39*E39*C34</f>
        <v>25.2315</v>
      </c>
      <c r="N39" s="124"/>
      <c r="O39" s="148">
        <f t="shared" si="0"/>
        <v>10092.6</v>
      </c>
      <c r="P39" s="124"/>
    </row>
    <row r="40" spans="1:22" x14ac:dyDescent="0.25">
      <c r="A40" s="124"/>
      <c r="B40" s="124"/>
      <c r="C40" s="124"/>
      <c r="D40" s="124"/>
      <c r="E40" s="124"/>
      <c r="F40" s="124"/>
      <c r="G40" s="125"/>
      <c r="H40" s="124"/>
      <c r="I40" s="136"/>
      <c r="J40" s="124"/>
      <c r="K40" s="121"/>
      <c r="L40" s="124"/>
      <c r="M40" s="121"/>
      <c r="N40" s="124"/>
      <c r="O40" s="148"/>
      <c r="P40" s="124"/>
    </row>
    <row r="41" spans="1:22" x14ac:dyDescent="0.25">
      <c r="A41" s="124" t="s">
        <v>155</v>
      </c>
      <c r="B41" s="124"/>
      <c r="C41" s="124"/>
      <c r="D41" s="124"/>
      <c r="E41" s="124"/>
      <c r="F41" s="124"/>
      <c r="G41" s="125"/>
      <c r="H41" s="124"/>
      <c r="I41" s="136" t="s">
        <v>171</v>
      </c>
      <c r="J41" s="124"/>
      <c r="K41" s="145">
        <f>R41</f>
        <v>2.076402857142857</v>
      </c>
      <c r="L41" s="124"/>
      <c r="M41" s="158">
        <f>T41</f>
        <v>174.55844285714284</v>
      </c>
      <c r="N41" s="146"/>
      <c r="O41" s="158">
        <f>V41</f>
        <v>69823.377142857134</v>
      </c>
      <c r="P41" s="124"/>
      <c r="R41">
        <f>SUM(R5:R40)</f>
        <v>2.076402857142857</v>
      </c>
      <c r="T41">
        <f>SUM(T5:T40)</f>
        <v>174.55844285714284</v>
      </c>
      <c r="V41">
        <f>SUM(V5:V40)</f>
        <v>69823.377142857134</v>
      </c>
    </row>
    <row r="42" spans="1:22" x14ac:dyDescent="0.25">
      <c r="A42" s="124"/>
      <c r="B42" s="124"/>
      <c r="C42" s="124"/>
      <c r="D42" s="124"/>
      <c r="E42" s="124"/>
      <c r="F42" s="124"/>
      <c r="G42" s="125"/>
      <c r="H42" s="124"/>
      <c r="I42" s="136"/>
      <c r="J42" s="124"/>
      <c r="K42" s="121"/>
      <c r="L42" s="124"/>
      <c r="M42" s="121"/>
      <c r="N42" s="124"/>
      <c r="O42" s="148"/>
      <c r="P42" s="124"/>
      <c r="R42" t="s">
        <v>170</v>
      </c>
    </row>
    <row r="43" spans="1:22" x14ac:dyDescent="0.25">
      <c r="A43" s="128" t="s">
        <v>91</v>
      </c>
      <c r="B43" s="124"/>
      <c r="C43" s="124"/>
      <c r="D43" s="124"/>
      <c r="E43" s="124"/>
      <c r="F43" s="124"/>
      <c r="G43" s="125"/>
      <c r="H43" s="124"/>
      <c r="I43" s="136"/>
      <c r="J43" s="124"/>
      <c r="K43" s="143">
        <f t="shared" ref="K43:K54" si="1">M43/days</f>
        <v>7.6613607305936082E-2</v>
      </c>
      <c r="L43" s="124"/>
      <c r="M43" s="145">
        <f>SUM(M44:M54)</f>
        <v>27.963966666666668</v>
      </c>
      <c r="N43" s="146"/>
      <c r="O43" s="127">
        <f>SUM(O44:O54)</f>
        <v>11185.586666666666</v>
      </c>
      <c r="P43" s="124"/>
    </row>
    <row r="44" spans="1:22" x14ac:dyDescent="0.25">
      <c r="A44" s="62" t="s">
        <v>92</v>
      </c>
      <c r="B44" s="124"/>
      <c r="C44" s="124"/>
      <c r="D44" s="124"/>
      <c r="E44" s="132">
        <v>1</v>
      </c>
      <c r="F44" s="124"/>
      <c r="G44" s="133" t="s">
        <v>17</v>
      </c>
      <c r="H44" s="124"/>
      <c r="I44" s="102">
        <v>6</v>
      </c>
      <c r="J44" s="124"/>
      <c r="K44" s="121">
        <f t="shared" si="1"/>
        <v>1.643835616438356E-2</v>
      </c>
      <c r="L44" s="124"/>
      <c r="M44" s="135">
        <f>I44*E44</f>
        <v>6</v>
      </c>
      <c r="N44" s="124"/>
      <c r="O44" s="148">
        <f t="shared" ref="O44:O54" si="2">M44*Head</f>
        <v>2400</v>
      </c>
      <c r="P44" s="124"/>
    </row>
    <row r="45" spans="1:22" x14ac:dyDescent="0.25">
      <c r="A45" s="62" t="s">
        <v>93</v>
      </c>
      <c r="B45" s="124"/>
      <c r="C45" s="124"/>
      <c r="D45" s="124"/>
      <c r="E45" s="132">
        <v>2</v>
      </c>
      <c r="F45" s="124"/>
      <c r="G45" s="133" t="s">
        <v>17</v>
      </c>
      <c r="H45" s="124"/>
      <c r="I45" s="102">
        <v>1.36</v>
      </c>
      <c r="J45" s="124"/>
      <c r="K45" s="121">
        <f t="shared" si="1"/>
        <v>7.4520547945205488E-3</v>
      </c>
      <c r="L45" s="124"/>
      <c r="M45" s="135">
        <f>I45*E45</f>
        <v>2.72</v>
      </c>
      <c r="N45" s="124"/>
      <c r="O45" s="148">
        <f t="shared" si="2"/>
        <v>1088</v>
      </c>
      <c r="P45" s="124"/>
    </row>
    <row r="46" spans="1:22" x14ac:dyDescent="0.25">
      <c r="A46" s="62" t="s">
        <v>94</v>
      </c>
      <c r="B46" s="124"/>
      <c r="C46" s="124"/>
      <c r="D46" s="124"/>
      <c r="E46" s="132">
        <v>1</v>
      </c>
      <c r="F46" s="124"/>
      <c r="G46" s="133" t="s">
        <v>17</v>
      </c>
      <c r="H46" s="124"/>
      <c r="I46" s="102"/>
      <c r="J46" s="124"/>
      <c r="K46" s="121">
        <f t="shared" si="1"/>
        <v>0</v>
      </c>
      <c r="L46" s="124"/>
      <c r="M46" s="135">
        <f t="shared" ref="M46:M54" si="3">I46*E46</f>
        <v>0</v>
      </c>
      <c r="N46" s="124"/>
      <c r="O46" s="148">
        <f t="shared" si="2"/>
        <v>0</v>
      </c>
      <c r="P46" s="124"/>
    </row>
    <row r="47" spans="1:22" x14ac:dyDescent="0.25">
      <c r="A47" s="62" t="s">
        <v>95</v>
      </c>
      <c r="B47" s="124"/>
      <c r="C47" s="124"/>
      <c r="D47" s="124"/>
      <c r="E47" s="132">
        <v>4</v>
      </c>
      <c r="F47" s="124"/>
      <c r="G47" s="133" t="s">
        <v>17</v>
      </c>
      <c r="H47" s="124"/>
      <c r="I47" s="102">
        <v>0.2646</v>
      </c>
      <c r="J47" s="124"/>
      <c r="K47" s="121">
        <f t="shared" si="1"/>
        <v>2.8997260273972603E-3</v>
      </c>
      <c r="L47" s="124"/>
      <c r="M47" s="135">
        <f t="shared" si="3"/>
        <v>1.0584</v>
      </c>
      <c r="N47" s="124"/>
      <c r="O47" s="148">
        <f t="shared" si="2"/>
        <v>423.36</v>
      </c>
      <c r="P47" s="124"/>
    </row>
    <row r="48" spans="1:22" x14ac:dyDescent="0.25">
      <c r="A48" s="62" t="s">
        <v>96</v>
      </c>
      <c r="B48" s="124"/>
      <c r="C48" s="124"/>
      <c r="D48" s="124"/>
      <c r="E48" s="132">
        <v>3</v>
      </c>
      <c r="F48" s="124"/>
      <c r="G48" s="133" t="s">
        <v>17</v>
      </c>
      <c r="H48" s="124"/>
      <c r="I48" s="102">
        <v>2.8380000000000001</v>
      </c>
      <c r="J48" s="124"/>
      <c r="K48" s="121">
        <f t="shared" si="1"/>
        <v>2.3326027397260272E-2</v>
      </c>
      <c r="L48" s="124"/>
      <c r="M48" s="135">
        <f t="shared" si="3"/>
        <v>8.5139999999999993</v>
      </c>
      <c r="N48" s="124"/>
      <c r="O48" s="148">
        <f t="shared" si="2"/>
        <v>3405.6</v>
      </c>
      <c r="P48" s="124"/>
    </row>
    <row r="49" spans="1:18" x14ac:dyDescent="0.25">
      <c r="A49" s="62" t="s">
        <v>97</v>
      </c>
      <c r="B49" s="124"/>
      <c r="C49" s="124"/>
      <c r="D49" s="124"/>
      <c r="E49" s="132">
        <v>1</v>
      </c>
      <c r="F49" s="124"/>
      <c r="G49" s="133" t="s">
        <v>17</v>
      </c>
      <c r="H49" s="124"/>
      <c r="I49" s="102">
        <f>109.14/50</f>
        <v>2.1827999999999999</v>
      </c>
      <c r="J49" s="124"/>
      <c r="K49" s="121">
        <f t="shared" si="1"/>
        <v>5.9802739726027392E-3</v>
      </c>
      <c r="L49" s="124"/>
      <c r="M49" s="135">
        <f t="shared" si="3"/>
        <v>2.1827999999999999</v>
      </c>
      <c r="N49" s="124"/>
      <c r="O49" s="148">
        <f t="shared" si="2"/>
        <v>873.11999999999989</v>
      </c>
      <c r="P49" s="124"/>
    </row>
    <row r="50" spans="1:18" x14ac:dyDescent="0.25">
      <c r="A50" s="62" t="s">
        <v>98</v>
      </c>
      <c r="B50" s="124"/>
      <c r="C50" s="124"/>
      <c r="D50" s="124"/>
      <c r="E50" s="132">
        <v>1</v>
      </c>
      <c r="F50" s="124"/>
      <c r="G50" s="133" t="s">
        <v>17</v>
      </c>
      <c r="H50" s="124"/>
      <c r="I50" s="102"/>
      <c r="J50" s="124"/>
      <c r="K50" s="121">
        <f t="shared" si="1"/>
        <v>0</v>
      </c>
      <c r="L50" s="124"/>
      <c r="M50" s="135">
        <f t="shared" si="3"/>
        <v>0</v>
      </c>
      <c r="N50" s="124"/>
      <c r="O50" s="148">
        <f t="shared" si="2"/>
        <v>0</v>
      </c>
      <c r="P50" s="124"/>
    </row>
    <row r="51" spans="1:18" ht="15.75" customHeight="1" x14ac:dyDescent="0.25">
      <c r="A51" s="62" t="s">
        <v>99</v>
      </c>
      <c r="B51" s="124"/>
      <c r="C51" s="124"/>
      <c r="D51" s="124"/>
      <c r="E51" s="132">
        <v>1</v>
      </c>
      <c r="F51" s="124"/>
      <c r="G51" s="133" t="s">
        <v>17</v>
      </c>
      <c r="H51" s="124"/>
      <c r="I51" s="102">
        <f>4.19/12</f>
        <v>0.34916666666666668</v>
      </c>
      <c r="J51" s="124"/>
      <c r="K51" s="121">
        <f t="shared" si="1"/>
        <v>9.566210045662101E-4</v>
      </c>
      <c r="L51" s="124"/>
      <c r="M51" s="135">
        <f t="shared" si="3"/>
        <v>0.34916666666666668</v>
      </c>
      <c r="N51" s="124"/>
      <c r="O51" s="148">
        <f t="shared" si="2"/>
        <v>139.66666666666669</v>
      </c>
      <c r="P51" s="124"/>
    </row>
    <row r="52" spans="1:18" x14ac:dyDescent="0.25">
      <c r="A52" s="62" t="s">
        <v>100</v>
      </c>
      <c r="B52" s="124"/>
      <c r="C52" s="124"/>
      <c r="D52" s="124"/>
      <c r="E52" s="132">
        <v>2</v>
      </c>
      <c r="F52" s="124"/>
      <c r="G52" s="133" t="s">
        <v>17</v>
      </c>
      <c r="H52" s="124"/>
      <c r="I52" s="102">
        <f>74.49/50</f>
        <v>1.4897999999999998</v>
      </c>
      <c r="J52" s="124"/>
      <c r="K52" s="121">
        <f t="shared" si="1"/>
        <v>8.1632876712328748E-3</v>
      </c>
      <c r="L52" s="142"/>
      <c r="M52" s="135">
        <f t="shared" si="3"/>
        <v>2.9795999999999996</v>
      </c>
      <c r="N52" s="128"/>
      <c r="O52" s="148">
        <f t="shared" si="2"/>
        <v>1191.8399999999999</v>
      </c>
      <c r="P52" s="128"/>
    </row>
    <row r="53" spans="1:18" x14ac:dyDescent="0.25">
      <c r="A53" s="62" t="s">
        <v>101</v>
      </c>
      <c r="B53" s="124"/>
      <c r="C53" s="124"/>
      <c r="D53" s="124"/>
      <c r="E53" s="132">
        <v>2</v>
      </c>
      <c r="F53" s="124"/>
      <c r="G53" s="133" t="s">
        <v>17</v>
      </c>
      <c r="H53" s="124"/>
      <c r="I53" s="102">
        <f>104/50</f>
        <v>2.08</v>
      </c>
      <c r="J53" s="124"/>
      <c r="K53" s="121">
        <f t="shared" si="1"/>
        <v>1.1397260273972603E-2</v>
      </c>
      <c r="L53" s="124"/>
      <c r="M53" s="135">
        <f t="shared" si="3"/>
        <v>4.16</v>
      </c>
      <c r="N53" s="124"/>
      <c r="O53" s="148">
        <f t="shared" si="2"/>
        <v>1664</v>
      </c>
      <c r="P53" s="124"/>
    </row>
    <row r="54" spans="1:18" x14ac:dyDescent="0.25">
      <c r="A54" s="62"/>
      <c r="B54" s="124"/>
      <c r="C54" s="124"/>
      <c r="D54" s="124"/>
      <c r="E54" s="132"/>
      <c r="F54" s="124"/>
      <c r="G54" s="133"/>
      <c r="H54" s="124"/>
      <c r="I54" s="102"/>
      <c r="J54" s="124"/>
      <c r="K54" s="121">
        <f t="shared" si="1"/>
        <v>0</v>
      </c>
      <c r="L54" s="124"/>
      <c r="M54" s="135">
        <f t="shared" si="3"/>
        <v>0</v>
      </c>
      <c r="N54" s="124"/>
      <c r="O54" s="148">
        <f t="shared" si="2"/>
        <v>0</v>
      </c>
      <c r="P54" s="124"/>
    </row>
    <row r="55" spans="1:18" x14ac:dyDescent="0.25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34"/>
      <c r="L55" s="124"/>
      <c r="M55" s="135"/>
      <c r="N55" s="124"/>
      <c r="O55" s="148"/>
      <c r="P55" s="124"/>
    </row>
    <row r="56" spans="1:18" x14ac:dyDescent="0.25">
      <c r="A56" s="128" t="s">
        <v>148</v>
      </c>
      <c r="B56" s="124"/>
      <c r="C56" s="124"/>
      <c r="D56" s="124"/>
      <c r="E56" s="124"/>
      <c r="F56" s="124"/>
      <c r="G56" s="124"/>
      <c r="H56" s="124"/>
      <c r="I56" s="136" t="s">
        <v>171</v>
      </c>
      <c r="J56" s="124"/>
      <c r="K56" s="143">
        <f>SUM(K57:K58)</f>
        <v>0.40499999999999997</v>
      </c>
      <c r="L56" s="124"/>
      <c r="M56" s="143">
        <f>SUM(M57:M58)</f>
        <v>127.57499999999999</v>
      </c>
      <c r="N56" s="124"/>
      <c r="O56" s="143">
        <f>SUM(O57:O58)</f>
        <v>51029.999999999993</v>
      </c>
      <c r="P56" s="124"/>
      <c r="Q56" s="86"/>
    </row>
    <row r="57" spans="1:18" x14ac:dyDescent="0.25">
      <c r="A57" s="62" t="s">
        <v>192</v>
      </c>
      <c r="B57" s="124"/>
      <c r="C57" s="124"/>
      <c r="D57" s="124"/>
      <c r="E57" s="132">
        <v>2.7E-2</v>
      </c>
      <c r="F57" s="124"/>
      <c r="G57" s="133" t="s">
        <v>173</v>
      </c>
      <c r="H57" s="124"/>
      <c r="I57" s="102">
        <v>15</v>
      </c>
      <c r="J57" s="124"/>
      <c r="K57" s="134">
        <f>I57*E57</f>
        <v>0.40499999999999997</v>
      </c>
      <c r="L57" s="124"/>
      <c r="M57" s="135">
        <f>K57*315</f>
        <v>127.57499999999999</v>
      </c>
      <c r="N57" s="124"/>
      <c r="O57" s="148">
        <f>M57*Head</f>
        <v>51029.999999999993</v>
      </c>
      <c r="P57" s="124"/>
      <c r="Q57" s="96"/>
      <c r="R57" s="86"/>
    </row>
    <row r="58" spans="1:18" x14ac:dyDescent="0.25">
      <c r="A58" s="62"/>
      <c r="B58" s="124"/>
      <c r="C58" s="124"/>
      <c r="D58" s="124"/>
      <c r="E58" s="132"/>
      <c r="F58" s="124"/>
      <c r="G58" s="133"/>
      <c r="H58" s="124"/>
      <c r="I58" s="102"/>
      <c r="J58" s="124"/>
      <c r="K58" s="134"/>
      <c r="L58" s="124"/>
      <c r="M58" s="135">
        <f>I58*E58</f>
        <v>0</v>
      </c>
      <c r="N58" s="124"/>
      <c r="O58" s="148">
        <f>M58*Head</f>
        <v>0</v>
      </c>
      <c r="P58" s="124"/>
    </row>
    <row r="59" spans="1:18" x14ac:dyDescent="0.25">
      <c r="A59" s="124"/>
      <c r="B59" s="124"/>
      <c r="C59" s="124"/>
      <c r="D59" s="124"/>
      <c r="E59" s="124"/>
      <c r="F59" s="124"/>
      <c r="G59" s="125"/>
      <c r="H59" s="124"/>
      <c r="I59" s="136"/>
      <c r="J59" s="124"/>
      <c r="K59" s="121"/>
      <c r="L59" s="124"/>
      <c r="M59" s="121"/>
      <c r="N59" s="124"/>
      <c r="O59" s="148"/>
      <c r="P59" s="124"/>
    </row>
    <row r="60" spans="1:18" x14ac:dyDescent="0.25">
      <c r="A60" s="128" t="s">
        <v>133</v>
      </c>
      <c r="B60" s="124"/>
      <c r="C60" s="124"/>
      <c r="D60" s="124"/>
      <c r="E60" s="124"/>
      <c r="F60" s="124"/>
      <c r="G60" s="125"/>
      <c r="H60" s="124"/>
      <c r="I60" s="136"/>
      <c r="J60" s="124"/>
      <c r="K60" s="143">
        <f>SUM(K61:K63)</f>
        <v>5.5555555555555552E-2</v>
      </c>
      <c r="L60" s="124"/>
      <c r="M60" s="145">
        <f>SUM(M61:M62)</f>
        <v>37.5</v>
      </c>
      <c r="N60" s="157"/>
      <c r="O60" s="158">
        <f>SUM(O61:O62)</f>
        <v>15000</v>
      </c>
      <c r="P60" s="124"/>
    </row>
    <row r="61" spans="1:18" x14ac:dyDescent="0.25">
      <c r="A61" s="62" t="s">
        <v>147</v>
      </c>
      <c r="B61" s="124"/>
      <c r="C61" s="124"/>
      <c r="D61" s="124"/>
      <c r="E61" s="132">
        <v>1</v>
      </c>
      <c r="F61" s="124"/>
      <c r="G61" s="133" t="s">
        <v>17</v>
      </c>
      <c r="H61" s="124"/>
      <c r="I61" s="102">
        <v>37.5</v>
      </c>
      <c r="J61" s="124"/>
      <c r="K61" s="134">
        <f>I61/675</f>
        <v>5.5555555555555552E-2</v>
      </c>
      <c r="L61" s="124"/>
      <c r="M61" s="135">
        <f>I61</f>
        <v>37.5</v>
      </c>
      <c r="N61" s="124"/>
      <c r="O61" s="148">
        <f>M61*Head</f>
        <v>15000</v>
      </c>
      <c r="P61" s="124"/>
    </row>
    <row r="62" spans="1:18" x14ac:dyDescent="0.25">
      <c r="A62" s="62"/>
      <c r="B62" s="124"/>
      <c r="C62" s="124"/>
      <c r="D62" s="124"/>
      <c r="E62" s="132"/>
      <c r="F62" s="124"/>
      <c r="G62" s="133"/>
      <c r="H62" s="124"/>
      <c r="I62" s="102"/>
      <c r="J62" s="124"/>
      <c r="K62" s="134"/>
      <c r="L62" s="124"/>
      <c r="M62" s="135"/>
      <c r="N62" s="124"/>
      <c r="O62" s="148"/>
      <c r="P62" s="124"/>
    </row>
    <row r="63" spans="1:18" x14ac:dyDescent="0.25">
      <c r="A63" s="124"/>
      <c r="B63" s="124"/>
      <c r="C63" s="124"/>
      <c r="D63" s="124"/>
      <c r="E63" s="124"/>
      <c r="F63" s="124"/>
      <c r="G63" s="125"/>
      <c r="H63" s="124"/>
      <c r="I63" s="136"/>
      <c r="J63" s="124"/>
      <c r="K63" s="121"/>
      <c r="L63" s="124"/>
      <c r="M63" s="121"/>
      <c r="N63" s="124"/>
      <c r="O63" s="148"/>
      <c r="P63" s="124"/>
    </row>
    <row r="64" spans="1:18" x14ac:dyDescent="0.25">
      <c r="A64" s="128" t="s">
        <v>9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43">
        <f>+K60+K56+K43+K41</f>
        <v>2.6135720200043489</v>
      </c>
      <c r="L64" s="157"/>
      <c r="M64" s="143">
        <f>+M60+M56+M43+M41</f>
        <v>367.59740952380946</v>
      </c>
      <c r="N64" s="124"/>
      <c r="O64" s="143">
        <f>+O60+O56+O43+O41</f>
        <v>147038.96380952379</v>
      </c>
      <c r="P64" s="124"/>
    </row>
    <row r="65" spans="1:17" x14ac:dyDescent="0.25">
      <c r="A65" s="128"/>
      <c r="B65" s="124"/>
      <c r="C65" s="124"/>
      <c r="D65" s="128"/>
      <c r="E65" s="128"/>
      <c r="F65" s="128"/>
      <c r="G65" s="128"/>
      <c r="H65" s="128"/>
      <c r="I65" s="128"/>
      <c r="J65" s="124"/>
      <c r="K65" s="134"/>
      <c r="L65" s="124"/>
      <c r="M65" s="135"/>
      <c r="N65" s="124"/>
      <c r="O65" s="148"/>
      <c r="P65" s="124"/>
    </row>
    <row r="66" spans="1:17" x14ac:dyDescent="0.25">
      <c r="A66" s="159" t="s">
        <v>156</v>
      </c>
      <c r="B66" s="160"/>
      <c r="C66" s="160"/>
      <c r="D66" s="160"/>
      <c r="E66" s="132">
        <v>1</v>
      </c>
      <c r="F66" s="160"/>
      <c r="G66" s="161" t="s">
        <v>52</v>
      </c>
      <c r="H66" s="160"/>
      <c r="I66" s="162">
        <v>0.06</v>
      </c>
      <c r="J66" s="160"/>
      <c r="K66" s="163">
        <f>K64*I66</f>
        <v>0.15681432120026093</v>
      </c>
      <c r="L66" s="160"/>
      <c r="M66" s="163">
        <f>M64*I66</f>
        <v>22.055844571428565</v>
      </c>
      <c r="N66" s="160"/>
      <c r="O66" s="163">
        <f>O64*I66</f>
        <v>8822.337828571428</v>
      </c>
      <c r="P66" s="160"/>
      <c r="Q66" s="94"/>
    </row>
    <row r="67" spans="1:17" x14ac:dyDescent="0.25">
      <c r="A67" s="124"/>
      <c r="B67" s="124"/>
      <c r="C67" s="124"/>
      <c r="D67" s="124"/>
      <c r="E67" s="124"/>
      <c r="F67" s="124"/>
      <c r="G67" s="125"/>
      <c r="H67" s="124"/>
      <c r="I67" s="136"/>
      <c r="J67" s="124"/>
      <c r="K67" s="121"/>
      <c r="L67" s="124"/>
      <c r="M67" s="121"/>
      <c r="N67" s="124"/>
      <c r="O67" s="148"/>
      <c r="P67" s="124"/>
    </row>
    <row r="68" spans="1:17" x14ac:dyDescent="0.25">
      <c r="A68" s="164" t="s">
        <v>154</v>
      </c>
      <c r="B68" s="165"/>
      <c r="C68" s="165"/>
      <c r="D68" s="165"/>
      <c r="E68" s="165"/>
      <c r="F68" s="165"/>
      <c r="G68" s="166"/>
      <c r="H68" s="165"/>
      <c r="I68" s="167"/>
      <c r="J68" s="165"/>
      <c r="K68" s="168">
        <f>K9-K64-K66</f>
        <v>0.65517530263100665</v>
      </c>
      <c r="L68" s="165"/>
      <c r="M68" s="168">
        <f>M9-M64-M66</f>
        <v>860.6767459047619</v>
      </c>
      <c r="N68" s="165"/>
      <c r="O68" s="180">
        <f>O9-O64-O66</f>
        <v>344270.69836190477</v>
      </c>
      <c r="P68" s="165"/>
    </row>
    <row r="69" spans="1:17" x14ac:dyDescent="0.25">
      <c r="A69" s="169"/>
      <c r="B69" s="124"/>
      <c r="C69" s="124"/>
      <c r="D69" s="124"/>
      <c r="E69" s="124"/>
      <c r="F69" s="124"/>
      <c r="G69" s="125"/>
      <c r="H69" s="124"/>
      <c r="I69" s="136"/>
      <c r="J69" s="124"/>
      <c r="K69" s="121"/>
      <c r="L69" s="124"/>
      <c r="M69" s="121"/>
      <c r="N69" s="124"/>
      <c r="O69" s="170"/>
      <c r="P69" s="124"/>
    </row>
    <row r="70" spans="1:17" x14ac:dyDescent="0.25">
      <c r="A70" s="137" t="s">
        <v>10</v>
      </c>
      <c r="B70" s="124"/>
      <c r="C70" s="124"/>
      <c r="D70" s="124"/>
      <c r="E70" s="124"/>
      <c r="F70" s="124"/>
      <c r="G70" s="125"/>
      <c r="H70" s="124"/>
      <c r="I70" s="136"/>
      <c r="J70" s="124"/>
      <c r="K70" s="171"/>
      <c r="L70" s="142"/>
      <c r="M70" s="171"/>
      <c r="N70" s="142"/>
      <c r="O70" s="171"/>
      <c r="P70" s="142"/>
    </row>
    <row r="71" spans="1:17" x14ac:dyDescent="0.25">
      <c r="A71" s="124"/>
      <c r="B71" s="124"/>
      <c r="C71" s="124"/>
      <c r="D71" s="124"/>
      <c r="E71" s="124"/>
      <c r="F71" s="124"/>
      <c r="G71" s="125"/>
      <c r="H71" s="124"/>
      <c r="I71" s="136"/>
      <c r="J71" s="124"/>
      <c r="K71" s="121"/>
      <c r="L71" s="124"/>
      <c r="M71" s="121"/>
      <c r="N71" s="124"/>
      <c r="O71" s="121"/>
      <c r="P71" s="124"/>
    </row>
    <row r="72" spans="1:17" x14ac:dyDescent="0.25">
      <c r="A72" s="62" t="s">
        <v>86</v>
      </c>
      <c r="B72" s="124"/>
      <c r="C72" s="124"/>
      <c r="D72" s="124"/>
      <c r="E72" s="132">
        <v>1</v>
      </c>
      <c r="F72" s="124"/>
      <c r="G72" s="133" t="s">
        <v>7</v>
      </c>
      <c r="H72" s="124"/>
      <c r="I72" s="102">
        <f>CRC</f>
        <v>208.96448840485101</v>
      </c>
      <c r="J72" s="124"/>
      <c r="K72" s="134">
        <f>M72/365</f>
        <v>0.57250544768452327</v>
      </c>
      <c r="L72" s="124"/>
      <c r="M72" s="135">
        <f>I72*E72</f>
        <v>208.96448840485101</v>
      </c>
      <c r="N72" s="124"/>
      <c r="O72" s="135">
        <f>M72*Head</f>
        <v>83585.7953619404</v>
      </c>
      <c r="P72" s="124"/>
    </row>
    <row r="73" spans="1:17" x14ac:dyDescent="0.25">
      <c r="A73" s="62" t="s">
        <v>11</v>
      </c>
      <c r="B73" s="2"/>
      <c r="C73" s="2"/>
      <c r="D73" s="2"/>
      <c r="E73" s="172">
        <v>1</v>
      </c>
      <c r="F73" s="2"/>
      <c r="G73" s="173" t="str">
        <f>G72</f>
        <v>head</v>
      </c>
      <c r="H73" s="124"/>
      <c r="I73" s="102">
        <v>3.5</v>
      </c>
      <c r="J73" s="124"/>
      <c r="K73" s="134">
        <f>I73*E73</f>
        <v>3.5</v>
      </c>
      <c r="L73" s="124"/>
      <c r="M73" s="135">
        <f>I73*E73</f>
        <v>3.5</v>
      </c>
      <c r="N73" s="124"/>
      <c r="O73" s="135">
        <f>M73*Head</f>
        <v>1400</v>
      </c>
      <c r="P73" s="124"/>
    </row>
    <row r="74" spans="1:17" x14ac:dyDescent="0.25">
      <c r="A74" s="62" t="s">
        <v>87</v>
      </c>
      <c r="B74" s="2"/>
      <c r="C74" s="2"/>
      <c r="D74" s="2"/>
      <c r="E74" s="172">
        <v>1</v>
      </c>
      <c r="F74" s="2"/>
      <c r="G74" s="173" t="str">
        <f>G73</f>
        <v>head</v>
      </c>
      <c r="H74" s="124"/>
      <c r="I74" s="174">
        <v>2.5000000000000001E-2</v>
      </c>
      <c r="J74" s="124"/>
      <c r="K74" s="134">
        <f>I74*E74*K52</f>
        <v>2.0408219178082187E-4</v>
      </c>
      <c r="L74" s="124"/>
      <c r="M74" s="135">
        <f>M64*I74</f>
        <v>9.1899352380952362</v>
      </c>
      <c r="N74" s="124"/>
      <c r="O74" s="135">
        <f>M74*Head</f>
        <v>3675.9740952380944</v>
      </c>
      <c r="P74" s="124"/>
    </row>
    <row r="75" spans="1:17" x14ac:dyDescent="0.25">
      <c r="A75" s="62" t="s">
        <v>217</v>
      </c>
      <c r="B75" s="124"/>
      <c r="C75" s="124"/>
      <c r="D75" s="124"/>
      <c r="E75" s="172">
        <v>1</v>
      </c>
      <c r="F75" s="124"/>
      <c r="G75" s="173" t="str">
        <f>G74</f>
        <v>head</v>
      </c>
      <c r="H75" s="124"/>
      <c r="I75" s="102">
        <f>'Yr 1 Operating Costs'!M81*1.06</f>
        <v>892.05371773096874</v>
      </c>
      <c r="J75" s="124"/>
      <c r="K75" s="134">
        <f>$I$75*$E$75/days</f>
        <v>2.4439827883040239</v>
      </c>
      <c r="L75" s="124"/>
      <c r="M75" s="134">
        <f>$I$75*$E$75</f>
        <v>892.05371773096874</v>
      </c>
      <c r="N75" s="124"/>
      <c r="O75" s="135">
        <f>M75*Head</f>
        <v>356821.48709238751</v>
      </c>
      <c r="P75" s="124"/>
    </row>
    <row r="76" spans="1:17" x14ac:dyDescent="0.25">
      <c r="A76" s="124"/>
      <c r="B76" s="124"/>
      <c r="C76" s="124"/>
      <c r="D76" s="124"/>
      <c r="E76" s="124"/>
      <c r="F76" s="124"/>
      <c r="G76" s="125"/>
      <c r="H76" s="124"/>
      <c r="I76" s="136"/>
      <c r="J76" s="124"/>
      <c r="K76" s="136"/>
      <c r="L76" s="124"/>
      <c r="M76" s="136"/>
      <c r="N76" s="124"/>
      <c r="O76" s="136"/>
      <c r="P76" s="124"/>
    </row>
    <row r="77" spans="1:17" x14ac:dyDescent="0.25">
      <c r="A77" s="128" t="s">
        <v>14</v>
      </c>
      <c r="B77" s="124"/>
      <c r="C77" s="124"/>
      <c r="D77" s="124"/>
      <c r="E77" s="124"/>
      <c r="F77" s="124"/>
      <c r="G77" s="125"/>
      <c r="H77" s="124"/>
      <c r="I77" s="124"/>
      <c r="J77" s="124"/>
      <c r="K77" s="175">
        <f>SUM(K72:K75)</f>
        <v>6.5166923181803282</v>
      </c>
      <c r="L77" s="142"/>
      <c r="M77" s="175">
        <f>SUM(M72:M75)</f>
        <v>1113.7081413739149</v>
      </c>
      <c r="N77" s="142"/>
      <c r="O77" s="175">
        <f>SUM(O72:O75)</f>
        <v>445483.25654956599</v>
      </c>
      <c r="P77" s="142"/>
    </row>
    <row r="78" spans="1:17" x14ac:dyDescent="0.25">
      <c r="A78" s="124"/>
      <c r="B78" s="124"/>
      <c r="C78" s="124"/>
      <c r="D78" s="124"/>
      <c r="E78" s="124"/>
      <c r="F78" s="124"/>
      <c r="G78" s="125"/>
      <c r="H78" s="124"/>
      <c r="I78" s="136"/>
      <c r="J78" s="124"/>
      <c r="K78" s="136"/>
      <c r="L78" s="124"/>
      <c r="M78" s="136"/>
      <c r="N78" s="124"/>
      <c r="O78" s="136"/>
      <c r="P78" s="124"/>
    </row>
    <row r="79" spans="1:17" x14ac:dyDescent="0.25">
      <c r="A79" s="128" t="s">
        <v>15</v>
      </c>
      <c r="B79" s="124"/>
      <c r="C79" s="124"/>
      <c r="D79" s="124"/>
      <c r="E79" s="124"/>
      <c r="F79" s="124"/>
      <c r="G79" s="125"/>
      <c r="H79" s="124"/>
      <c r="I79" s="124"/>
      <c r="J79" s="124"/>
      <c r="K79" s="175">
        <f>K77+K64</f>
        <v>9.1302643381846771</v>
      </c>
      <c r="L79" s="142"/>
      <c r="M79" s="175">
        <f>M77+M64</f>
        <v>1481.3055508977245</v>
      </c>
      <c r="N79" s="175"/>
      <c r="O79" s="175">
        <f>O77+O64</f>
        <v>592522.22035908978</v>
      </c>
      <c r="P79" s="175"/>
    </row>
    <row r="80" spans="1:17" x14ac:dyDescent="0.25">
      <c r="A80" s="124"/>
      <c r="B80" s="124"/>
      <c r="C80" s="124"/>
      <c r="D80" s="124"/>
      <c r="E80" s="124"/>
      <c r="F80" s="124"/>
      <c r="G80" s="125"/>
      <c r="H80" s="124"/>
      <c r="I80" s="124"/>
      <c r="J80" s="124"/>
      <c r="K80" s="175"/>
      <c r="L80" s="142"/>
      <c r="M80" s="175"/>
      <c r="N80" s="142"/>
      <c r="O80" s="175"/>
      <c r="P80" s="142"/>
    </row>
    <row r="81" spans="1:16" x14ac:dyDescent="0.25">
      <c r="A81" s="164" t="s">
        <v>16</v>
      </c>
      <c r="B81" s="165"/>
      <c r="C81" s="165"/>
      <c r="D81" s="165"/>
      <c r="E81" s="165"/>
      <c r="F81" s="165"/>
      <c r="G81" s="166"/>
      <c r="H81" s="165"/>
      <c r="I81" s="165"/>
      <c r="J81" s="165"/>
      <c r="K81" s="176">
        <f>K9-K79</f>
        <v>-5.7047026943490611</v>
      </c>
      <c r="L81" s="177"/>
      <c r="M81" s="176">
        <f>M9-M79</f>
        <v>-230.97555089772459</v>
      </c>
      <c r="N81" s="177"/>
      <c r="O81" s="176">
        <f>O9-O79</f>
        <v>-92390.220359089784</v>
      </c>
      <c r="P81" s="177"/>
    </row>
    <row r="82" spans="1:16" s="21" customFormat="1" x14ac:dyDescent="0.25">
      <c r="A82" s="16"/>
      <c r="B82" s="17"/>
      <c r="C82" s="17"/>
      <c r="D82" s="17"/>
      <c r="E82" s="17"/>
      <c r="F82" s="17"/>
      <c r="G82" s="18"/>
      <c r="H82" s="17"/>
      <c r="I82" s="84"/>
      <c r="J82" s="17"/>
      <c r="K82" s="17"/>
      <c r="L82" s="17"/>
      <c r="M82" s="19"/>
      <c r="N82" s="20"/>
      <c r="O82" s="19"/>
      <c r="P82" s="20"/>
    </row>
  </sheetData>
  <mergeCells count="3">
    <mergeCell ref="G2:I2"/>
    <mergeCell ref="A3:N3"/>
    <mergeCell ref="A4:O4"/>
  </mergeCells>
  <pageMargins left="0.7" right="0.7" top="0.75" bottom="0.75" header="0.3" footer="0.3"/>
  <pageSetup scale="61" fitToHeight="2" orientation="portrait" r:id="rId1"/>
  <rowBreaks count="1" manualBreakCount="1">
    <brk id="68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5"/>
  <sheetViews>
    <sheetView zoomScale="75" zoomScaleNormal="75" workbookViewId="0">
      <selection sqref="A1:J1"/>
    </sheetView>
  </sheetViews>
  <sheetFormatPr defaultColWidth="8.875" defaultRowHeight="15.75" x14ac:dyDescent="0.25"/>
  <cols>
    <col min="1" max="1" width="43.625" bestFit="1" customWidth="1"/>
    <col min="2" max="2" width="2.375" customWidth="1"/>
    <col min="4" max="4" width="2.375" customWidth="1"/>
    <col min="6" max="6" width="2.375" customWidth="1"/>
    <col min="8" max="8" width="2.375" customWidth="1"/>
    <col min="9" max="9" width="10.875" bestFit="1" customWidth="1"/>
    <col min="10" max="10" width="2.375" customWidth="1"/>
    <col min="16" max="16" width="13.5" customWidth="1"/>
  </cols>
  <sheetData>
    <row r="1" spans="1:16" ht="22.5" customHeight="1" thickBot="1" x14ac:dyDescent="0.35">
      <c r="A1" s="246" t="s">
        <v>220</v>
      </c>
      <c r="B1" s="246"/>
      <c r="C1" s="246"/>
      <c r="D1" s="246"/>
      <c r="E1" s="246"/>
      <c r="F1" s="246"/>
      <c r="G1" s="246"/>
      <c r="H1" s="246"/>
      <c r="I1" s="246"/>
      <c r="J1" s="246"/>
      <c r="K1" s="40"/>
      <c r="L1" s="40"/>
      <c r="M1" s="246"/>
      <c r="N1" s="246"/>
      <c r="O1" s="246"/>
      <c r="P1" s="246"/>
    </row>
    <row r="2" spans="1:16" s="46" customFormat="1" ht="16.5" thickTop="1" x14ac:dyDescent="0.25">
      <c r="A2" s="111"/>
      <c r="B2" s="111"/>
      <c r="C2" s="111" t="s">
        <v>1</v>
      </c>
      <c r="D2" s="111"/>
      <c r="E2" s="111"/>
      <c r="F2" s="111"/>
      <c r="G2" s="111" t="s">
        <v>102</v>
      </c>
      <c r="H2" s="111"/>
      <c r="I2" s="111" t="s">
        <v>103</v>
      </c>
      <c r="J2" s="111"/>
      <c r="K2" s="111" t="s">
        <v>104</v>
      </c>
      <c r="L2" s="111" t="s">
        <v>105</v>
      </c>
      <c r="M2" s="111" t="s">
        <v>105</v>
      </c>
      <c r="N2" s="111" t="s">
        <v>106</v>
      </c>
      <c r="O2" s="111" t="s">
        <v>107</v>
      </c>
      <c r="P2" s="111" t="s">
        <v>107</v>
      </c>
    </row>
    <row r="3" spans="1:16" s="46" customFormat="1" ht="14.45" customHeight="1" x14ac:dyDescent="0.25">
      <c r="A3" s="117" t="s">
        <v>2</v>
      </c>
      <c r="B3" s="117"/>
      <c r="C3" s="117" t="s">
        <v>108</v>
      </c>
      <c r="D3" s="117"/>
      <c r="E3" s="117" t="s">
        <v>3</v>
      </c>
      <c r="F3" s="117"/>
      <c r="G3" s="117" t="s">
        <v>4</v>
      </c>
      <c r="H3" s="117"/>
      <c r="I3" s="117" t="s">
        <v>4</v>
      </c>
      <c r="J3" s="117"/>
      <c r="K3" s="117" t="s">
        <v>109</v>
      </c>
      <c r="L3" s="117" t="s">
        <v>110</v>
      </c>
      <c r="M3" s="117" t="s">
        <v>110</v>
      </c>
      <c r="N3" s="117" t="s">
        <v>111</v>
      </c>
      <c r="O3" s="117" t="s">
        <v>112</v>
      </c>
      <c r="P3" s="117" t="s">
        <v>112</v>
      </c>
    </row>
    <row r="4" spans="1:16" s="46" customFormat="1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 t="s">
        <v>113</v>
      </c>
      <c r="L4" s="114" t="s">
        <v>114</v>
      </c>
      <c r="M4" s="114" t="s">
        <v>115</v>
      </c>
      <c r="N4" s="114" t="s">
        <v>116</v>
      </c>
      <c r="O4" s="114" t="s">
        <v>117</v>
      </c>
      <c r="P4" s="114" t="s">
        <v>110</v>
      </c>
    </row>
    <row r="5" spans="1:16" x14ac:dyDescent="0.25">
      <c r="A5" s="118"/>
      <c r="B5" s="118"/>
      <c r="C5" s="181"/>
      <c r="D5" s="118"/>
      <c r="E5" s="119"/>
      <c r="F5" s="118"/>
      <c r="G5" s="182"/>
      <c r="H5" s="118"/>
      <c r="I5" s="122"/>
      <c r="J5" s="118"/>
      <c r="K5" s="2"/>
      <c r="L5" s="183"/>
      <c r="M5" s="183"/>
      <c r="N5" s="247"/>
      <c r="O5" s="247"/>
      <c r="P5" s="247"/>
    </row>
    <row r="6" spans="1:16" x14ac:dyDescent="0.25">
      <c r="A6" s="184" t="s">
        <v>118</v>
      </c>
      <c r="B6" s="124"/>
      <c r="C6" s="185"/>
      <c r="D6" s="124"/>
      <c r="E6" s="125"/>
      <c r="F6" s="124"/>
      <c r="G6" s="136"/>
      <c r="H6" s="124"/>
      <c r="I6" s="121"/>
      <c r="J6" s="124"/>
      <c r="K6" s="124"/>
      <c r="L6" s="186"/>
      <c r="M6" s="186"/>
      <c r="N6" s="187"/>
      <c r="O6" s="188"/>
      <c r="P6" s="189"/>
    </row>
    <row r="7" spans="1:16" ht="6.75" customHeight="1" x14ac:dyDescent="0.25">
      <c r="A7" s="124"/>
      <c r="B7" s="124"/>
      <c r="C7" s="185"/>
      <c r="D7" s="124"/>
      <c r="E7" s="125"/>
      <c r="F7" s="124"/>
      <c r="G7" s="136"/>
      <c r="H7" s="124"/>
      <c r="I7" s="121"/>
      <c r="J7" s="124"/>
      <c r="K7" s="124"/>
      <c r="L7" s="186"/>
      <c r="M7" s="186"/>
      <c r="N7" s="187"/>
      <c r="O7" s="188"/>
      <c r="P7" s="189"/>
    </row>
    <row r="8" spans="1:16" x14ac:dyDescent="0.25">
      <c r="A8" s="190" t="s">
        <v>119</v>
      </c>
      <c r="B8" s="124"/>
      <c r="C8" s="185"/>
      <c r="D8" s="124"/>
      <c r="E8" s="125"/>
      <c r="F8" s="124"/>
      <c r="G8" s="136"/>
      <c r="H8" s="124"/>
      <c r="I8" s="191">
        <f>SUM(I9:I9)</f>
        <v>50000</v>
      </c>
      <c r="J8" s="124"/>
      <c r="K8" s="124"/>
      <c r="L8" s="186"/>
      <c r="M8" s="186"/>
      <c r="N8" s="187"/>
      <c r="O8" s="188"/>
      <c r="P8" s="192"/>
    </row>
    <row r="9" spans="1:16" x14ac:dyDescent="0.25">
      <c r="A9" s="61" t="s">
        <v>120</v>
      </c>
      <c r="B9" s="124"/>
      <c r="C9" s="193">
        <v>10</v>
      </c>
      <c r="D9" s="124"/>
      <c r="E9" s="133" t="s">
        <v>121</v>
      </c>
      <c r="F9" s="124"/>
      <c r="G9" s="194">
        <v>5000</v>
      </c>
      <c r="H9" s="124"/>
      <c r="I9" s="195">
        <f>C9*G9</f>
        <v>50000</v>
      </c>
      <c r="J9" s="124"/>
      <c r="K9" s="124"/>
      <c r="L9" s="186"/>
      <c r="M9" s="186"/>
      <c r="N9" s="187">
        <v>7.4999999999999997E-2</v>
      </c>
      <c r="O9" s="188"/>
      <c r="P9" s="196">
        <f>N9*I9</f>
        <v>3750</v>
      </c>
    </row>
    <row r="10" spans="1:16" x14ac:dyDescent="0.25">
      <c r="A10" s="124"/>
      <c r="B10" s="124"/>
      <c r="C10" s="185"/>
      <c r="D10" s="124"/>
      <c r="E10" s="125"/>
      <c r="F10" s="124"/>
      <c r="G10" s="136"/>
      <c r="H10" s="124"/>
      <c r="I10" s="186"/>
      <c r="J10" s="124"/>
      <c r="K10" s="124"/>
      <c r="L10" s="186"/>
      <c r="M10" s="186"/>
      <c r="N10" s="187"/>
      <c r="O10" s="188"/>
      <c r="P10" s="189"/>
    </row>
    <row r="11" spans="1:16" x14ac:dyDescent="0.25">
      <c r="A11" s="190" t="s">
        <v>122</v>
      </c>
      <c r="B11" s="124"/>
      <c r="C11" s="185"/>
      <c r="D11" s="124"/>
      <c r="E11" s="125"/>
      <c r="F11" s="124"/>
      <c r="G11" s="136"/>
      <c r="H11" s="124"/>
      <c r="I11" s="197">
        <f>SUM(I12:I13)</f>
        <v>211500</v>
      </c>
      <c r="J11" s="124"/>
      <c r="K11" s="124"/>
      <c r="L11" s="186"/>
      <c r="M11" s="186"/>
      <c r="N11" s="187"/>
      <c r="O11" s="188"/>
      <c r="P11" s="189"/>
    </row>
    <row r="12" spans="1:16" x14ac:dyDescent="0.25">
      <c r="A12" s="62" t="s">
        <v>187</v>
      </c>
      <c r="B12" s="124"/>
      <c r="C12" s="193">
        <v>3</v>
      </c>
      <c r="D12" s="124"/>
      <c r="E12" s="133" t="s">
        <v>123</v>
      </c>
      <c r="F12" s="124"/>
      <c r="G12" s="194">
        <v>500</v>
      </c>
      <c r="H12" s="124"/>
      <c r="I12" s="186">
        <f>C12*G12</f>
        <v>1500</v>
      </c>
      <c r="J12" s="124"/>
      <c r="K12" s="124">
        <v>12</v>
      </c>
      <c r="L12" s="186">
        <v>0</v>
      </c>
      <c r="M12" s="186"/>
      <c r="N12" s="187">
        <v>0.06</v>
      </c>
      <c r="O12" s="198"/>
      <c r="P12" s="196">
        <f>O12*(I12-L12)+(N12*L12)</f>
        <v>0</v>
      </c>
    </row>
    <row r="13" spans="1:16" x14ac:dyDescent="0.25">
      <c r="A13" s="62" t="s">
        <v>159</v>
      </c>
      <c r="B13" s="124"/>
      <c r="C13" s="193">
        <v>1</v>
      </c>
      <c r="D13" s="124"/>
      <c r="E13" s="133" t="s">
        <v>123</v>
      </c>
      <c r="F13" s="124"/>
      <c r="G13" s="194">
        <v>210000</v>
      </c>
      <c r="H13" s="124"/>
      <c r="I13" s="186">
        <f>C13*G13</f>
        <v>210000</v>
      </c>
      <c r="J13" s="124"/>
      <c r="K13" s="124">
        <v>30</v>
      </c>
      <c r="L13" s="186">
        <v>0</v>
      </c>
      <c r="M13" s="186"/>
      <c r="N13" s="187">
        <v>0.06</v>
      </c>
      <c r="O13" s="198">
        <v>7.2650000000000006E-2</v>
      </c>
      <c r="P13" s="196">
        <f>O13*(I13-L13)+(N13*L13)</f>
        <v>15256.500000000002</v>
      </c>
    </row>
    <row r="14" spans="1:16" x14ac:dyDescent="0.25">
      <c r="A14" s="124"/>
      <c r="B14" s="124"/>
      <c r="C14" s="185"/>
      <c r="D14" s="124"/>
      <c r="E14" s="125"/>
      <c r="F14" s="124"/>
      <c r="G14" s="136"/>
      <c r="H14" s="124"/>
      <c r="I14" s="186"/>
      <c r="J14" s="124"/>
      <c r="K14" s="124"/>
      <c r="L14" s="186"/>
      <c r="M14" s="186"/>
      <c r="N14" s="187"/>
      <c r="O14" s="188"/>
      <c r="P14" s="189"/>
    </row>
    <row r="15" spans="1:16" x14ac:dyDescent="0.25">
      <c r="A15" s="190" t="s">
        <v>144</v>
      </c>
      <c r="B15" s="124"/>
      <c r="C15" s="185"/>
      <c r="D15" s="124"/>
      <c r="E15" s="125"/>
      <c r="F15" s="124"/>
      <c r="G15" s="136"/>
      <c r="H15" s="124"/>
      <c r="I15" s="197">
        <f>SUM(I16:I17)</f>
        <v>118866.66666666667</v>
      </c>
      <c r="J15" s="124"/>
      <c r="K15" s="124"/>
      <c r="L15" s="186"/>
      <c r="M15" s="186"/>
      <c r="N15" s="187"/>
      <c r="O15" s="198"/>
      <c r="P15" s="196"/>
    </row>
    <row r="16" spans="1:16" x14ac:dyDescent="0.25">
      <c r="A16" s="61" t="s">
        <v>146</v>
      </c>
      <c r="B16" s="124"/>
      <c r="C16" s="199">
        <f>Head/3</f>
        <v>133.33333333333334</v>
      </c>
      <c r="D16" s="124"/>
      <c r="E16" s="133" t="s">
        <v>145</v>
      </c>
      <c r="F16" s="124"/>
      <c r="G16" s="194">
        <v>314</v>
      </c>
      <c r="H16" s="124"/>
      <c r="I16" s="186">
        <f>C16*G16</f>
        <v>41866.666666666672</v>
      </c>
      <c r="J16" s="124"/>
      <c r="K16" s="124">
        <v>3</v>
      </c>
      <c r="L16" s="186">
        <v>0</v>
      </c>
      <c r="M16" s="186"/>
      <c r="N16" s="187">
        <v>0.06</v>
      </c>
      <c r="O16" s="188">
        <v>0.374</v>
      </c>
      <c r="P16" s="196">
        <f>O16*(I16-L16)+(N16*L16)</f>
        <v>15658.133333333335</v>
      </c>
    </row>
    <row r="17" spans="1:16" x14ac:dyDescent="0.25">
      <c r="A17" s="62" t="s">
        <v>162</v>
      </c>
      <c r="B17" s="124"/>
      <c r="C17" s="193">
        <v>7</v>
      </c>
      <c r="D17" s="124"/>
      <c r="E17" s="133" t="s">
        <v>124</v>
      </c>
      <c r="F17" s="124"/>
      <c r="G17" s="194">
        <v>11000</v>
      </c>
      <c r="H17" s="124"/>
      <c r="I17" s="186">
        <f>C17*G17</f>
        <v>77000</v>
      </c>
      <c r="J17" s="124"/>
      <c r="K17" s="124"/>
      <c r="L17" s="186"/>
      <c r="M17" s="186"/>
      <c r="N17" s="187"/>
      <c r="O17" s="188"/>
      <c r="P17" s="189"/>
    </row>
    <row r="18" spans="1:16" x14ac:dyDescent="0.25">
      <c r="A18" s="62"/>
      <c r="B18" s="124"/>
      <c r="C18" s="185"/>
      <c r="D18" s="124"/>
      <c r="E18" s="125"/>
      <c r="F18" s="124"/>
      <c r="G18" s="136"/>
      <c r="H18" s="124"/>
      <c r="I18" s="186"/>
      <c r="J18" s="124"/>
      <c r="K18" s="124"/>
      <c r="L18" s="186"/>
      <c r="M18" s="186"/>
      <c r="N18" s="187"/>
      <c r="O18" s="188"/>
      <c r="P18" s="189"/>
    </row>
    <row r="19" spans="1:16" ht="8.25" customHeight="1" x14ac:dyDescent="0.25">
      <c r="A19" s="124"/>
      <c r="B19" s="124"/>
      <c r="C19" s="185"/>
      <c r="D19" s="124"/>
      <c r="E19" s="125"/>
      <c r="F19" s="124"/>
      <c r="G19" s="136"/>
      <c r="H19" s="124"/>
      <c r="I19" s="186"/>
      <c r="J19" s="124"/>
      <c r="K19" s="124"/>
      <c r="L19" s="186"/>
      <c r="M19" s="186"/>
      <c r="N19" s="187"/>
      <c r="O19" s="188"/>
      <c r="P19" s="189"/>
    </row>
    <row r="20" spans="1:16" x14ac:dyDescent="0.25">
      <c r="A20" s="190" t="s">
        <v>188</v>
      </c>
      <c r="B20" s="124"/>
      <c r="C20" s="185"/>
      <c r="D20" s="124"/>
      <c r="E20" s="125"/>
      <c r="F20" s="124"/>
      <c r="G20" s="136"/>
      <c r="H20" s="124"/>
      <c r="I20" s="197">
        <f>SUM(I21:I29)</f>
        <v>344688</v>
      </c>
      <c r="J20" s="124"/>
      <c r="K20" s="124"/>
      <c r="L20" s="186"/>
      <c r="M20" s="186"/>
      <c r="N20" s="187"/>
      <c r="O20" s="200" t="s">
        <v>125</v>
      </c>
      <c r="P20" s="201">
        <f>SUM(P21:P29)</f>
        <v>47862.585551344644</v>
      </c>
    </row>
    <row r="21" spans="1:16" x14ac:dyDescent="0.25">
      <c r="A21" s="61" t="s">
        <v>126</v>
      </c>
      <c r="B21" s="124"/>
      <c r="C21" s="193">
        <v>1</v>
      </c>
      <c r="D21" s="124"/>
      <c r="E21" s="202" t="s">
        <v>123</v>
      </c>
      <c r="F21" s="124"/>
      <c r="G21" s="194">
        <v>20000</v>
      </c>
      <c r="H21" s="124"/>
      <c r="I21" s="186">
        <f>C21*G21</f>
        <v>20000</v>
      </c>
      <c r="J21" s="124"/>
      <c r="K21" s="124">
        <v>8</v>
      </c>
      <c r="L21" s="186">
        <f>0.1*G21</f>
        <v>2000</v>
      </c>
      <c r="M21" s="186">
        <f>L21*C21</f>
        <v>2000</v>
      </c>
      <c r="N21" s="187">
        <v>0.06</v>
      </c>
      <c r="O21" s="188">
        <v>0.161</v>
      </c>
      <c r="P21" s="196">
        <f t="shared" ref="P21:P26" si="0">O21*(I21-L21)+(N21*L21)</f>
        <v>3018</v>
      </c>
    </row>
    <row r="22" spans="1:16" x14ac:dyDescent="0.25">
      <c r="A22" s="61" t="s">
        <v>127</v>
      </c>
      <c r="B22" s="124"/>
      <c r="C22" s="193">
        <v>2</v>
      </c>
      <c r="D22" s="124"/>
      <c r="E22" s="202" t="s">
        <v>123</v>
      </c>
      <c r="F22" s="124"/>
      <c r="G22" s="194">
        <v>6000</v>
      </c>
      <c r="H22" s="124"/>
      <c r="I22" s="186">
        <f t="shared" ref="I22:I30" si="1">C22*G22</f>
        <v>12000</v>
      </c>
      <c r="J22" s="124"/>
      <c r="K22" s="124">
        <v>8</v>
      </c>
      <c r="L22" s="186">
        <f t="shared" ref="L22:L29" si="2">0.1*G22</f>
        <v>600</v>
      </c>
      <c r="M22" s="186">
        <f t="shared" ref="M22:M29" si="3">L22*C22</f>
        <v>1200</v>
      </c>
      <c r="N22" s="187">
        <v>0.06</v>
      </c>
      <c r="O22" s="188">
        <v>0.161</v>
      </c>
      <c r="P22" s="196">
        <f t="shared" si="0"/>
        <v>1871.4</v>
      </c>
    </row>
    <row r="23" spans="1:16" x14ac:dyDescent="0.25">
      <c r="A23" s="203" t="s">
        <v>128</v>
      </c>
      <c r="B23" s="124"/>
      <c r="C23" s="193">
        <v>1</v>
      </c>
      <c r="D23" s="124"/>
      <c r="E23" s="202" t="s">
        <v>123</v>
      </c>
      <c r="F23" s="124"/>
      <c r="G23" s="194">
        <v>95000</v>
      </c>
      <c r="H23" s="124"/>
      <c r="I23" s="186">
        <f t="shared" si="1"/>
        <v>95000</v>
      </c>
      <c r="J23" s="124"/>
      <c r="K23" s="124">
        <v>10</v>
      </c>
      <c r="L23" s="186">
        <f t="shared" si="2"/>
        <v>9500</v>
      </c>
      <c r="M23" s="186">
        <f t="shared" si="3"/>
        <v>9500</v>
      </c>
      <c r="N23" s="187">
        <v>0.06</v>
      </c>
      <c r="O23" s="188">
        <v>0.13589999999999999</v>
      </c>
      <c r="P23" s="196">
        <f t="shared" si="0"/>
        <v>12189.449999999999</v>
      </c>
    </row>
    <row r="24" spans="1:16" x14ac:dyDescent="0.25">
      <c r="A24" s="203" t="s">
        <v>129</v>
      </c>
      <c r="B24" s="124"/>
      <c r="C24" s="193">
        <v>1</v>
      </c>
      <c r="D24" s="124"/>
      <c r="E24" s="202" t="s">
        <v>123</v>
      </c>
      <c r="F24" s="124"/>
      <c r="G24" s="194">
        <v>35000</v>
      </c>
      <c r="H24" s="124"/>
      <c r="I24" s="186">
        <f t="shared" si="1"/>
        <v>35000</v>
      </c>
      <c r="J24" s="124"/>
      <c r="K24" s="124">
        <v>10</v>
      </c>
      <c r="L24" s="186">
        <f t="shared" si="2"/>
        <v>3500</v>
      </c>
      <c r="M24" s="186">
        <f t="shared" si="3"/>
        <v>3500</v>
      </c>
      <c r="N24" s="187">
        <v>0.06</v>
      </c>
      <c r="O24" s="188">
        <v>0.13589999999999999</v>
      </c>
      <c r="P24" s="196">
        <f t="shared" si="0"/>
        <v>4490.8499999999995</v>
      </c>
    </row>
    <row r="25" spans="1:16" x14ac:dyDescent="0.25">
      <c r="A25" s="61" t="s">
        <v>161</v>
      </c>
      <c r="B25" s="124"/>
      <c r="C25" s="193">
        <v>1</v>
      </c>
      <c r="D25" s="124"/>
      <c r="E25" s="202" t="s">
        <v>123</v>
      </c>
      <c r="F25" s="124"/>
      <c r="G25" s="194">
        <v>74000</v>
      </c>
      <c r="H25" s="124"/>
      <c r="I25" s="186">
        <f t="shared" si="1"/>
        <v>74000</v>
      </c>
      <c r="J25" s="124"/>
      <c r="K25" s="124">
        <v>8</v>
      </c>
      <c r="L25" s="186">
        <f t="shared" si="2"/>
        <v>7400</v>
      </c>
      <c r="M25" s="186">
        <f t="shared" si="3"/>
        <v>7400</v>
      </c>
      <c r="N25" s="187">
        <v>0.06</v>
      </c>
      <c r="O25" s="188">
        <v>0.161</v>
      </c>
      <c r="P25" s="196">
        <f t="shared" si="0"/>
        <v>11166.6</v>
      </c>
    </row>
    <row r="26" spans="1:16" x14ac:dyDescent="0.25">
      <c r="A26" s="61" t="s">
        <v>160</v>
      </c>
      <c r="B26" s="124"/>
      <c r="C26" s="193">
        <v>1</v>
      </c>
      <c r="D26" s="124"/>
      <c r="E26" s="202" t="s">
        <v>123</v>
      </c>
      <c r="F26" s="124"/>
      <c r="G26" s="194">
        <v>65000</v>
      </c>
      <c r="H26" s="124"/>
      <c r="I26" s="186">
        <f t="shared" si="1"/>
        <v>65000</v>
      </c>
      <c r="J26" s="124"/>
      <c r="K26" s="124">
        <v>8</v>
      </c>
      <c r="L26" s="186">
        <f t="shared" si="2"/>
        <v>6500</v>
      </c>
      <c r="M26" s="186">
        <f t="shared" si="3"/>
        <v>6500</v>
      </c>
      <c r="N26" s="187">
        <v>0.06</v>
      </c>
      <c r="O26" s="188">
        <v>0.161</v>
      </c>
      <c r="P26" s="196">
        <f t="shared" si="0"/>
        <v>9808.5</v>
      </c>
    </row>
    <row r="27" spans="1:16" x14ac:dyDescent="0.25">
      <c r="A27" s="61" t="s">
        <v>130</v>
      </c>
      <c r="B27" s="124"/>
      <c r="C27" s="193">
        <v>1</v>
      </c>
      <c r="D27" s="124"/>
      <c r="E27" s="202" t="s">
        <v>123</v>
      </c>
      <c r="F27" s="124"/>
      <c r="G27" s="194">
        <v>16188</v>
      </c>
      <c r="H27" s="124"/>
      <c r="I27" s="186">
        <f t="shared" si="1"/>
        <v>16188</v>
      </c>
      <c r="J27" s="124"/>
      <c r="K27" s="124">
        <v>20</v>
      </c>
      <c r="L27" s="186">
        <f t="shared" si="2"/>
        <v>1618.8000000000002</v>
      </c>
      <c r="M27" s="186">
        <f t="shared" si="3"/>
        <v>1618.8000000000002</v>
      </c>
      <c r="N27" s="187">
        <v>0.06</v>
      </c>
      <c r="O27" s="204">
        <v>8.7184556976851402E-2</v>
      </c>
      <c r="P27" s="196">
        <f>O27*(I27-M27)+(N27*M27)</f>
        <v>1367.3372475071435</v>
      </c>
    </row>
    <row r="28" spans="1:16" x14ac:dyDescent="0.25">
      <c r="A28" s="61" t="s">
        <v>131</v>
      </c>
      <c r="B28" s="124"/>
      <c r="C28" s="193">
        <v>1</v>
      </c>
      <c r="D28" s="124"/>
      <c r="E28" s="202" t="s">
        <v>123</v>
      </c>
      <c r="F28" s="124"/>
      <c r="G28" s="194">
        <v>3000</v>
      </c>
      <c r="H28" s="124"/>
      <c r="I28" s="186">
        <f t="shared" si="1"/>
        <v>3000</v>
      </c>
      <c r="J28" s="124"/>
      <c r="K28" s="124">
        <v>20</v>
      </c>
      <c r="L28" s="186">
        <f t="shared" si="2"/>
        <v>300</v>
      </c>
      <c r="M28" s="186">
        <f t="shared" si="3"/>
        <v>300</v>
      </c>
      <c r="N28" s="187">
        <v>0.06</v>
      </c>
      <c r="O28" s="204">
        <v>8.7184556976851402E-2</v>
      </c>
      <c r="P28" s="196">
        <f>O28*(I28-M28)+(N28*M28)</f>
        <v>253.39830383749879</v>
      </c>
    </row>
    <row r="29" spans="1:16" x14ac:dyDescent="0.25">
      <c r="A29" s="61" t="s">
        <v>132</v>
      </c>
      <c r="B29" s="124"/>
      <c r="C29" s="193">
        <v>1</v>
      </c>
      <c r="D29" s="124"/>
      <c r="E29" s="202" t="s">
        <v>123</v>
      </c>
      <c r="F29" s="124"/>
      <c r="G29" s="194">
        <v>24500</v>
      </c>
      <c r="H29" s="124"/>
      <c r="I29" s="186">
        <f t="shared" si="1"/>
        <v>24500</v>
      </c>
      <c r="J29" s="124"/>
      <c r="K29" s="124">
        <v>8</v>
      </c>
      <c r="L29" s="186">
        <f t="shared" si="2"/>
        <v>2450</v>
      </c>
      <c r="M29" s="186">
        <f t="shared" si="3"/>
        <v>2450</v>
      </c>
      <c r="N29" s="187">
        <v>0.06</v>
      </c>
      <c r="O29" s="188">
        <v>0.161</v>
      </c>
      <c r="P29" s="196">
        <f>O29*(I29-M29)+(N29*M29)</f>
        <v>3697.05</v>
      </c>
    </row>
    <row r="30" spans="1:16" x14ac:dyDescent="0.25">
      <c r="A30" s="61" t="s">
        <v>133</v>
      </c>
      <c r="B30" s="124"/>
      <c r="C30" s="193">
        <v>1</v>
      </c>
      <c r="D30" s="124"/>
      <c r="E30" s="202" t="s">
        <v>123</v>
      </c>
      <c r="F30" s="124"/>
      <c r="G30" s="194">
        <v>10000</v>
      </c>
      <c r="H30" s="124"/>
      <c r="I30" s="186">
        <f t="shared" si="1"/>
        <v>10000</v>
      </c>
      <c r="J30" s="124"/>
      <c r="K30" s="124">
        <v>16</v>
      </c>
      <c r="L30" s="186">
        <v>0</v>
      </c>
      <c r="M30" s="186">
        <f>L30*C30</f>
        <v>0</v>
      </c>
      <c r="N30" s="187">
        <v>7.0000000000000007E-2</v>
      </c>
      <c r="O30" s="188">
        <v>0.105857647726243</v>
      </c>
      <c r="P30" s="196">
        <f>O30*(I30-L30)+(N30*L30)</f>
        <v>1058.57647726243</v>
      </c>
    </row>
    <row r="31" spans="1:16" ht="6.75" customHeight="1" x14ac:dyDescent="0.25">
      <c r="A31" s="124"/>
      <c r="B31" s="124"/>
      <c r="C31" s="185"/>
      <c r="D31" s="124"/>
      <c r="E31" s="125"/>
      <c r="F31" s="124"/>
      <c r="G31" s="136"/>
      <c r="H31" s="124"/>
      <c r="I31" s="121"/>
      <c r="J31" s="124"/>
      <c r="K31" s="124"/>
      <c r="L31" s="186"/>
      <c r="M31" s="186"/>
      <c r="N31" s="187"/>
      <c r="O31" s="188"/>
      <c r="P31" s="189"/>
    </row>
    <row r="32" spans="1:16" ht="15" customHeight="1" x14ac:dyDescent="0.25">
      <c r="A32" s="205" t="s">
        <v>134</v>
      </c>
      <c r="B32" s="124"/>
      <c r="C32" s="206"/>
      <c r="D32" s="124"/>
      <c r="E32" s="133"/>
      <c r="F32" s="124"/>
      <c r="G32" s="207"/>
      <c r="H32" s="124"/>
      <c r="I32" s="197">
        <f>SUM(G33:G36)</f>
        <v>4176.5853333333334</v>
      </c>
      <c r="J32" s="124"/>
      <c r="K32" s="208"/>
      <c r="L32" s="209"/>
      <c r="M32" s="210"/>
      <c r="N32" s="187"/>
      <c r="O32" s="188"/>
      <c r="P32" s="196"/>
    </row>
    <row r="33" spans="1:16" ht="15" customHeight="1" x14ac:dyDescent="0.25">
      <c r="A33" s="61" t="s">
        <v>135</v>
      </c>
      <c r="B33" s="124"/>
      <c r="C33" s="193">
        <v>1</v>
      </c>
      <c r="D33" s="124"/>
      <c r="E33" s="202" t="s">
        <v>123</v>
      </c>
      <c r="F33" s="124"/>
      <c r="G33" s="194">
        <f>(I15+I11)/1000*5</f>
        <v>1651.8333333333335</v>
      </c>
      <c r="H33" s="124"/>
      <c r="I33" s="186">
        <f>C33*G33</f>
        <v>1651.8333333333335</v>
      </c>
      <c r="J33" s="124"/>
      <c r="K33" s="211"/>
      <c r="L33" s="186"/>
      <c r="M33" s="212"/>
      <c r="N33" s="187"/>
      <c r="O33" s="188"/>
      <c r="P33" s="196"/>
    </row>
    <row r="34" spans="1:16" ht="15" customHeight="1" x14ac:dyDescent="0.25">
      <c r="A34" s="61" t="s">
        <v>136</v>
      </c>
      <c r="B34" s="124"/>
      <c r="C34" s="193">
        <v>1</v>
      </c>
      <c r="D34" s="124"/>
      <c r="E34" s="202" t="s">
        <v>123</v>
      </c>
      <c r="F34" s="124"/>
      <c r="G34" s="207">
        <f>I20/1000*4</f>
        <v>1378.752</v>
      </c>
      <c r="H34" s="124"/>
      <c r="I34" s="186">
        <f>C34*G34</f>
        <v>1378.752</v>
      </c>
      <c r="J34" s="124"/>
      <c r="K34" s="211"/>
      <c r="L34" s="186"/>
      <c r="M34" s="212"/>
      <c r="N34" s="187"/>
      <c r="O34" s="188"/>
      <c r="P34" s="196"/>
    </row>
    <row r="35" spans="1:16" ht="15" customHeight="1" x14ac:dyDescent="0.25">
      <c r="A35" s="61" t="s">
        <v>137</v>
      </c>
      <c r="B35" s="124"/>
      <c r="C35" s="193">
        <v>1</v>
      </c>
      <c r="D35" s="124"/>
      <c r="E35" s="202" t="s">
        <v>123</v>
      </c>
      <c r="F35" s="124"/>
      <c r="G35" s="194">
        <v>1146</v>
      </c>
      <c r="H35" s="124"/>
      <c r="I35" s="186">
        <f>C35*G35</f>
        <v>1146</v>
      </c>
      <c r="J35" s="124"/>
      <c r="K35" s="211"/>
      <c r="L35" s="186"/>
      <c r="M35" s="212"/>
      <c r="N35" s="187"/>
      <c r="O35" s="188"/>
      <c r="P35" s="196"/>
    </row>
    <row r="36" spans="1:16" ht="6.75" customHeight="1" x14ac:dyDescent="0.25">
      <c r="A36" s="124"/>
      <c r="B36" s="124"/>
      <c r="C36" s="185"/>
      <c r="D36" s="124"/>
      <c r="E36" s="125"/>
      <c r="F36" s="124"/>
      <c r="G36" s="136"/>
      <c r="H36" s="124"/>
      <c r="I36" s="121"/>
      <c r="J36" s="124"/>
      <c r="K36" s="124"/>
      <c r="L36" s="186"/>
      <c r="M36" s="186"/>
      <c r="N36" s="187"/>
      <c r="O36" s="188"/>
      <c r="P36" s="189"/>
    </row>
    <row r="37" spans="1:16" x14ac:dyDescent="0.25">
      <c r="A37" s="124" t="s">
        <v>138</v>
      </c>
      <c r="B37" s="124"/>
      <c r="C37" s="185"/>
      <c r="D37" s="124"/>
      <c r="E37" s="125"/>
      <c r="F37" s="124"/>
      <c r="G37" s="124"/>
      <c r="H37" s="124"/>
      <c r="I37" s="186">
        <f>SUM(I8:I35)-(I8+I11+I15+I20+I32)</f>
        <v>739231.25199999986</v>
      </c>
      <c r="J37" s="124"/>
      <c r="K37" s="213"/>
      <c r="L37" s="214">
        <f>SUM(L8:L36)</f>
        <v>33868.800000000003</v>
      </c>
      <c r="M37" s="215"/>
      <c r="N37" s="187"/>
      <c r="O37" s="188"/>
      <c r="P37" s="189"/>
    </row>
    <row r="38" spans="1:16" x14ac:dyDescent="0.25">
      <c r="A38" s="124" t="s">
        <v>139</v>
      </c>
      <c r="B38" s="124"/>
      <c r="C38" s="185"/>
      <c r="D38" s="124"/>
      <c r="E38" s="125"/>
      <c r="F38" s="124"/>
      <c r="G38" s="124"/>
      <c r="H38" s="124"/>
      <c r="I38" s="136">
        <f>I37/Head</f>
        <v>1848.0781299999996</v>
      </c>
      <c r="J38" s="124"/>
      <c r="K38" s="124"/>
      <c r="L38" s="136">
        <f>L37/400</f>
        <v>84.672000000000011</v>
      </c>
      <c r="M38" s="136"/>
      <c r="N38" s="187"/>
      <c r="O38" s="188"/>
      <c r="P38" s="189"/>
    </row>
    <row r="39" spans="1:16" ht="6.75" customHeight="1" x14ac:dyDescent="0.25">
      <c r="A39" s="124"/>
      <c r="B39" s="124"/>
      <c r="C39" s="185"/>
      <c r="D39" s="124"/>
      <c r="E39" s="125"/>
      <c r="F39" s="124"/>
      <c r="G39" s="136"/>
      <c r="H39" s="124"/>
      <c r="I39" s="121"/>
      <c r="J39" s="124"/>
      <c r="K39" s="124"/>
      <c r="L39" s="186"/>
      <c r="M39" s="186"/>
      <c r="N39" s="187"/>
      <c r="O39" s="188"/>
      <c r="P39" s="189"/>
    </row>
    <row r="40" spans="1:16" ht="15" customHeight="1" x14ac:dyDescent="0.25">
      <c r="A40" s="124" t="s">
        <v>140</v>
      </c>
      <c r="B40" s="124"/>
      <c r="C40" s="193"/>
      <c r="D40" s="124"/>
      <c r="E40" s="133"/>
      <c r="F40" s="124"/>
      <c r="G40" s="216"/>
      <c r="H40" s="124"/>
      <c r="I40" s="186">
        <f>AVERAGE('Yr 1 Operating Costs'!I12,'Yr 1 Operating Costs'!M8)</f>
        <v>800</v>
      </c>
      <c r="J40" s="124"/>
      <c r="K40" s="124"/>
      <c r="L40" s="186"/>
      <c r="M40" s="186"/>
      <c r="N40" s="187"/>
      <c r="O40" s="188"/>
      <c r="P40" s="189"/>
    </row>
    <row r="41" spans="1:16" ht="15" customHeight="1" x14ac:dyDescent="0.25">
      <c r="A41" s="124" t="s">
        <v>141</v>
      </c>
      <c r="B41" s="124"/>
      <c r="C41" s="193"/>
      <c r="D41" s="124"/>
      <c r="E41" s="133"/>
      <c r="F41" s="124"/>
      <c r="G41" s="216"/>
      <c r="H41" s="124"/>
      <c r="I41" s="186">
        <f>I40/400</f>
        <v>2</v>
      </c>
      <c r="J41" s="124"/>
      <c r="K41" s="124"/>
      <c r="L41" s="186"/>
      <c r="M41" s="186"/>
      <c r="N41" s="187"/>
      <c r="O41" s="188"/>
      <c r="P41" s="189"/>
    </row>
    <row r="42" spans="1:16" ht="6.75" customHeight="1" x14ac:dyDescent="0.25">
      <c r="A42" s="124"/>
      <c r="B42" s="124"/>
      <c r="C42" s="185"/>
      <c r="D42" s="124"/>
      <c r="E42" s="125"/>
      <c r="F42" s="124"/>
      <c r="G42" s="136"/>
      <c r="H42" s="124"/>
      <c r="I42" s="121"/>
      <c r="J42" s="124"/>
      <c r="K42" s="124"/>
      <c r="L42" s="186"/>
      <c r="M42" s="186"/>
      <c r="N42" s="187"/>
      <c r="O42" s="188"/>
      <c r="P42" s="189"/>
    </row>
    <row r="43" spans="1:16" x14ac:dyDescent="0.25">
      <c r="A43" s="124" t="s">
        <v>142</v>
      </c>
      <c r="B43" s="124"/>
      <c r="C43" s="185"/>
      <c r="D43" s="124"/>
      <c r="E43" s="125"/>
      <c r="F43" s="124"/>
      <c r="G43" s="124"/>
      <c r="H43" s="124"/>
      <c r="I43" s="186">
        <f>P43</f>
        <v>83585.7953619404</v>
      </c>
      <c r="J43" s="124"/>
      <c r="K43" s="213"/>
      <c r="L43" s="214"/>
      <c r="M43" s="214"/>
      <c r="N43" s="187"/>
      <c r="O43" s="188"/>
      <c r="P43" s="196">
        <f>SUM($P$8:$P$38)-$P$20</f>
        <v>83585.7953619404</v>
      </c>
    </row>
    <row r="44" spans="1:16" x14ac:dyDescent="0.25">
      <c r="A44" s="124" t="s">
        <v>143</v>
      </c>
      <c r="B44" s="124"/>
      <c r="C44" s="185"/>
      <c r="D44" s="124"/>
      <c r="E44" s="125"/>
      <c r="F44" s="124"/>
      <c r="G44" s="124"/>
      <c r="H44" s="124"/>
      <c r="I44" s="186">
        <f>P44</f>
        <v>208.96448840485101</v>
      </c>
      <c r="J44" s="124"/>
      <c r="K44" s="217"/>
      <c r="L44" s="218"/>
      <c r="M44" s="218"/>
      <c r="N44" s="219"/>
      <c r="O44" s="220"/>
      <c r="P44" s="196">
        <f>P43/Head</f>
        <v>208.96448840485101</v>
      </c>
    </row>
    <row r="45" spans="1:16" s="2" customFormat="1" ht="7.15" customHeight="1" x14ac:dyDescent="0.25">
      <c r="A45" s="165"/>
      <c r="B45" s="165"/>
      <c r="C45" s="221"/>
      <c r="D45" s="165"/>
      <c r="E45" s="166"/>
      <c r="F45" s="165"/>
      <c r="G45" s="165"/>
      <c r="H45" s="165"/>
      <c r="I45" s="165"/>
      <c r="J45" s="165"/>
      <c r="K45" s="165"/>
      <c r="L45" s="222"/>
      <c r="M45" s="222"/>
      <c r="N45" s="223"/>
      <c r="O45" s="224"/>
      <c r="P45" s="225"/>
    </row>
    <row r="46" spans="1:16" x14ac:dyDescent="0.25">
      <c r="A46" s="65"/>
      <c r="B46" s="65"/>
      <c r="C46" s="66"/>
      <c r="D46" s="65"/>
      <c r="E46" s="67"/>
      <c r="F46" s="65"/>
      <c r="G46" s="65"/>
      <c r="H46" s="65"/>
      <c r="I46" s="65"/>
      <c r="J46" s="65"/>
      <c r="K46" s="68"/>
      <c r="L46" s="69"/>
      <c r="M46" s="69"/>
      <c r="N46" s="70"/>
      <c r="O46" s="71"/>
      <c r="P46" s="72"/>
    </row>
    <row r="47" spans="1:16" x14ac:dyDescent="0.25">
      <c r="A47" s="65"/>
      <c r="B47" s="65"/>
      <c r="C47" s="66"/>
      <c r="D47" s="65"/>
      <c r="E47" s="67"/>
      <c r="F47" s="65"/>
      <c r="G47" s="65"/>
      <c r="H47" s="65"/>
      <c r="I47" s="65"/>
      <c r="J47" s="65"/>
      <c r="K47" s="68"/>
      <c r="L47" s="69"/>
      <c r="M47" s="69"/>
      <c r="N47" s="70"/>
      <c r="O47" s="71"/>
      <c r="P47" s="72"/>
    </row>
    <row r="48" spans="1:16" x14ac:dyDescent="0.25">
      <c r="A48" s="65"/>
      <c r="B48" s="65"/>
      <c r="C48" s="66"/>
      <c r="D48" s="65"/>
      <c r="E48" s="67"/>
      <c r="F48" s="65"/>
      <c r="G48" s="65"/>
      <c r="H48" s="65"/>
      <c r="I48" s="65"/>
      <c r="J48" s="65"/>
      <c r="K48" s="68"/>
      <c r="L48" s="69"/>
      <c r="M48" s="69"/>
      <c r="N48" s="70"/>
      <c r="O48" s="71"/>
      <c r="P48" s="72"/>
    </row>
    <row r="49" spans="1:16" x14ac:dyDescent="0.25">
      <c r="A49" s="22"/>
      <c r="B49" s="22"/>
      <c r="C49" s="66"/>
      <c r="D49" s="22"/>
      <c r="E49" s="73"/>
      <c r="F49" s="22"/>
      <c r="G49" s="22"/>
      <c r="H49" s="22"/>
      <c r="I49" s="22"/>
      <c r="J49" s="22"/>
      <c r="K49" s="74"/>
      <c r="L49" s="75"/>
      <c r="M49" s="75"/>
      <c r="N49" s="70"/>
      <c r="O49" s="76"/>
      <c r="P49" s="77"/>
    </row>
    <row r="50" spans="1:16" x14ac:dyDescent="0.25">
      <c r="A50" s="22"/>
      <c r="B50" s="22"/>
      <c r="C50" s="66"/>
      <c r="D50" s="22"/>
      <c r="E50" s="73"/>
      <c r="F50" s="22"/>
      <c r="G50" s="22"/>
      <c r="H50" s="22"/>
      <c r="I50" s="22"/>
      <c r="J50" s="22"/>
      <c r="K50" s="74"/>
      <c r="L50" s="75"/>
      <c r="M50" s="75"/>
      <c r="N50" s="70"/>
      <c r="O50" s="76"/>
      <c r="P50" s="77"/>
    </row>
    <row r="51" spans="1:16" x14ac:dyDescent="0.25">
      <c r="A51" s="22"/>
      <c r="B51" s="22"/>
      <c r="C51" s="66"/>
      <c r="D51" s="22"/>
      <c r="E51" s="73"/>
      <c r="F51" s="22"/>
      <c r="G51" s="22"/>
      <c r="H51" s="22"/>
      <c r="I51" s="22"/>
      <c r="J51" s="22"/>
      <c r="K51" s="74"/>
      <c r="L51" s="75"/>
      <c r="M51" s="75"/>
      <c r="N51" s="70"/>
      <c r="O51" s="76"/>
      <c r="P51" s="77"/>
    </row>
    <row r="52" spans="1:16" x14ac:dyDescent="0.25">
      <c r="A52" s="22"/>
      <c r="B52" s="22"/>
      <c r="C52" s="66"/>
      <c r="D52" s="22"/>
      <c r="E52" s="73"/>
      <c r="F52" s="22"/>
      <c r="G52" s="22"/>
      <c r="H52" s="22"/>
      <c r="I52" s="22"/>
      <c r="J52" s="22"/>
      <c r="K52" s="74"/>
      <c r="L52" s="75"/>
      <c r="M52" s="75"/>
      <c r="N52" s="70"/>
      <c r="O52" s="76"/>
      <c r="P52" s="77"/>
    </row>
    <row r="53" spans="1:16" x14ac:dyDescent="0.25">
      <c r="A53" s="22"/>
      <c r="B53" s="22"/>
      <c r="C53" s="66"/>
      <c r="D53" s="22"/>
      <c r="E53" s="73"/>
      <c r="F53" s="22"/>
      <c r="G53" s="22"/>
      <c r="H53" s="22"/>
      <c r="I53" s="22"/>
      <c r="J53" s="22"/>
      <c r="K53" s="74"/>
      <c r="L53" s="75"/>
      <c r="M53" s="75"/>
      <c r="N53" s="70"/>
      <c r="O53" s="76"/>
      <c r="P53" s="77"/>
    </row>
    <row r="54" spans="1:16" x14ac:dyDescent="0.25">
      <c r="A54" s="22"/>
      <c r="B54" s="22"/>
      <c r="C54" s="66"/>
      <c r="D54" s="22"/>
      <c r="E54" s="73"/>
      <c r="F54" s="22"/>
      <c r="G54" s="22"/>
      <c r="H54" s="22"/>
      <c r="I54" s="22"/>
      <c r="J54" s="22"/>
      <c r="K54" s="74"/>
      <c r="L54" s="75"/>
      <c r="M54" s="75"/>
      <c r="N54" s="70"/>
      <c r="O54" s="76"/>
      <c r="P54" s="77"/>
    </row>
    <row r="55" spans="1:16" x14ac:dyDescent="0.25">
      <c r="C55" s="78"/>
      <c r="E55" s="1"/>
      <c r="I55" s="2"/>
      <c r="K55" s="38"/>
      <c r="L55" s="79"/>
      <c r="M55" s="79"/>
      <c r="N55" s="80"/>
      <c r="O55" s="81"/>
      <c r="P55" s="82"/>
    </row>
  </sheetData>
  <mergeCells count="3">
    <mergeCell ref="A1:J1"/>
    <mergeCell ref="M1:P1"/>
    <mergeCell ref="N5:P5"/>
  </mergeCells>
  <pageMargins left="0.7" right="0.7" top="0.75" bottom="0.75" header="0.3" footer="0.3"/>
  <pageSetup scale="7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C31" sqref="C31"/>
    </sheetView>
  </sheetViews>
  <sheetFormatPr defaultColWidth="8.875" defaultRowHeight="15.75" x14ac:dyDescent="0.25"/>
  <cols>
    <col min="1" max="1" width="43.625" bestFit="1" customWidth="1"/>
    <col min="2" max="2" width="2.375" customWidth="1"/>
    <col min="4" max="4" width="2.375" customWidth="1"/>
    <col min="6" max="6" width="2.375" customWidth="1"/>
    <col min="8" max="8" width="2.375" customWidth="1"/>
    <col min="9" max="9" width="10.875" bestFit="1" customWidth="1"/>
  </cols>
  <sheetData>
    <row r="1" spans="1:10" ht="19.5" thickBot="1" x14ac:dyDescent="0.35">
      <c r="A1" s="246" t="s">
        <v>176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16.5" thickTop="1" x14ac:dyDescent="0.25">
      <c r="A2" s="41"/>
      <c r="B2" s="41"/>
      <c r="C2" s="42" t="s">
        <v>1</v>
      </c>
      <c r="D2" s="42"/>
      <c r="E2" s="43"/>
      <c r="F2" s="42"/>
      <c r="G2" s="42" t="s">
        <v>102</v>
      </c>
      <c r="H2" s="42"/>
      <c r="I2" s="44" t="s">
        <v>103</v>
      </c>
      <c r="J2" s="45"/>
    </row>
    <row r="3" spans="1:10" x14ac:dyDescent="0.25">
      <c r="A3" s="47" t="s">
        <v>2</v>
      </c>
      <c r="B3" s="48"/>
      <c r="C3" s="47" t="s">
        <v>175</v>
      </c>
      <c r="D3" s="47"/>
      <c r="E3" s="49" t="s">
        <v>3</v>
      </c>
      <c r="F3" s="47"/>
      <c r="G3" s="47" t="s">
        <v>4</v>
      </c>
      <c r="H3" s="47"/>
      <c r="I3" s="50" t="s">
        <v>4</v>
      </c>
      <c r="J3" s="51"/>
    </row>
    <row r="4" spans="1:10" x14ac:dyDescent="0.25">
      <c r="A4" s="52"/>
      <c r="B4" s="53"/>
      <c r="C4" s="52"/>
      <c r="D4" s="53"/>
      <c r="E4" s="54"/>
      <c r="F4" s="53"/>
      <c r="G4" s="53"/>
      <c r="H4" s="53"/>
      <c r="I4" s="55"/>
      <c r="J4" s="56"/>
    </row>
    <row r="5" spans="1:10" x14ac:dyDescent="0.25">
      <c r="A5" s="3"/>
      <c r="B5" s="3"/>
      <c r="C5" s="57"/>
      <c r="D5" s="3"/>
      <c r="E5" s="4"/>
      <c r="F5" s="3"/>
      <c r="G5" s="58"/>
      <c r="H5" s="3"/>
      <c r="I5" s="5"/>
      <c r="J5" s="6"/>
    </row>
    <row r="6" spans="1:10" x14ac:dyDescent="0.25">
      <c r="A6" s="13" t="s">
        <v>174</v>
      </c>
      <c r="B6" s="7"/>
      <c r="C6" s="59"/>
      <c r="D6" s="7"/>
      <c r="E6" s="8"/>
      <c r="F6" s="7"/>
      <c r="G6" s="9"/>
      <c r="H6" s="7"/>
      <c r="I6" s="12"/>
      <c r="J6" s="10"/>
    </row>
    <row r="7" spans="1:10" x14ac:dyDescent="0.25">
      <c r="A7" s="7"/>
      <c r="B7" s="7"/>
      <c r="C7" s="59"/>
      <c r="D7" s="7"/>
      <c r="E7" s="8"/>
      <c r="F7" s="7"/>
      <c r="G7" s="9"/>
      <c r="H7" s="7"/>
      <c r="I7" s="12"/>
      <c r="J7" s="10"/>
    </row>
    <row r="8" spans="1:10" x14ac:dyDescent="0.25">
      <c r="A8" s="61" t="s">
        <v>178</v>
      </c>
      <c r="B8" s="7"/>
      <c r="C8" s="60">
        <v>7</v>
      </c>
      <c r="D8" s="7"/>
      <c r="E8" s="11" t="s">
        <v>177</v>
      </c>
      <c r="F8" s="7"/>
      <c r="G8" s="63">
        <v>20</v>
      </c>
      <c r="H8" s="7"/>
      <c r="I8" s="12">
        <f>C8*G8</f>
        <v>140</v>
      </c>
      <c r="J8" s="10"/>
    </row>
    <row r="9" spans="1:10" x14ac:dyDescent="0.25">
      <c r="A9" s="61" t="s">
        <v>179</v>
      </c>
      <c r="B9" s="7"/>
      <c r="C9" s="60">
        <v>10</v>
      </c>
      <c r="D9" s="7"/>
      <c r="E9" s="11" t="s">
        <v>180</v>
      </c>
      <c r="F9" s="7"/>
      <c r="G9" s="63">
        <v>3</v>
      </c>
      <c r="H9" s="7"/>
      <c r="I9" s="12">
        <f>C9*G9</f>
        <v>30</v>
      </c>
      <c r="J9" s="10"/>
    </row>
    <row r="10" spans="1:10" x14ac:dyDescent="0.25">
      <c r="A10" s="61" t="s">
        <v>181</v>
      </c>
      <c r="B10" s="7"/>
      <c r="C10" s="95">
        <v>4</v>
      </c>
      <c r="D10" s="7"/>
      <c r="E10" s="11" t="s">
        <v>182</v>
      </c>
      <c r="F10" s="7"/>
      <c r="G10" s="63">
        <v>2.5</v>
      </c>
      <c r="H10" s="7"/>
      <c r="I10" s="15">
        <f>C10*G10</f>
        <v>10</v>
      </c>
      <c r="J10" s="10"/>
    </row>
    <row r="11" spans="1:10" x14ac:dyDescent="0.25">
      <c r="A11" s="62" t="s">
        <v>183</v>
      </c>
      <c r="B11" s="7"/>
      <c r="C11" s="60">
        <v>2</v>
      </c>
      <c r="D11" s="7"/>
      <c r="E11" s="11" t="s">
        <v>21</v>
      </c>
      <c r="F11" s="7"/>
      <c r="G11" s="63">
        <v>2</v>
      </c>
      <c r="H11" s="7"/>
      <c r="I11" s="15">
        <f>C11*G11</f>
        <v>4</v>
      </c>
      <c r="J11" s="10"/>
    </row>
    <row r="12" spans="1:10" x14ac:dyDescent="0.25">
      <c r="A12" s="7"/>
      <c r="B12" s="7"/>
      <c r="C12" s="59"/>
      <c r="D12" s="7"/>
      <c r="E12" s="8"/>
      <c r="F12" s="7"/>
      <c r="G12" s="9"/>
      <c r="H12" s="7"/>
      <c r="I12" s="15"/>
      <c r="J12" s="10"/>
    </row>
    <row r="13" spans="1:10" x14ac:dyDescent="0.25">
      <c r="A13" s="13" t="s">
        <v>148</v>
      </c>
      <c r="B13" s="7"/>
      <c r="C13" s="59"/>
      <c r="D13" s="7"/>
      <c r="E13" s="8"/>
      <c r="F13" s="7"/>
      <c r="G13" s="9"/>
      <c r="H13" s="7"/>
      <c r="I13" s="15"/>
      <c r="J13" s="10"/>
    </row>
    <row r="14" spans="1:10" x14ac:dyDescent="0.25">
      <c r="A14" s="7"/>
      <c r="B14" s="7"/>
      <c r="C14" s="59"/>
      <c r="D14" s="7"/>
      <c r="E14" s="8"/>
      <c r="F14" s="7"/>
      <c r="G14" s="9"/>
      <c r="H14" s="7"/>
      <c r="I14" s="15"/>
      <c r="J14" s="10"/>
    </row>
    <row r="15" spans="1:10" x14ac:dyDescent="0.25">
      <c r="A15" s="62" t="s">
        <v>185</v>
      </c>
      <c r="B15" s="7"/>
      <c r="C15" s="59">
        <v>6</v>
      </c>
      <c r="D15" s="7"/>
      <c r="E15" s="8" t="s">
        <v>173</v>
      </c>
      <c r="F15" s="7"/>
      <c r="G15" s="63">
        <v>20</v>
      </c>
      <c r="H15" s="7"/>
      <c r="I15" s="15">
        <f>C15*G15</f>
        <v>120</v>
      </c>
      <c r="J15" s="10"/>
    </row>
    <row r="16" spans="1:10" x14ac:dyDescent="0.25">
      <c r="A16" s="62" t="s">
        <v>186</v>
      </c>
      <c r="B16" s="7"/>
      <c r="C16" s="59">
        <v>0.5</v>
      </c>
      <c r="D16" s="7"/>
      <c r="E16" s="8" t="s">
        <v>173</v>
      </c>
      <c r="F16" s="7"/>
      <c r="G16" s="63">
        <v>20</v>
      </c>
      <c r="H16" s="7"/>
      <c r="I16" s="15">
        <f>C16*G16</f>
        <v>10</v>
      </c>
      <c r="J16" s="10"/>
    </row>
    <row r="17" spans="1:10" x14ac:dyDescent="0.25">
      <c r="A17" s="7"/>
      <c r="B17" s="7"/>
      <c r="C17" s="59"/>
      <c r="D17" s="7"/>
      <c r="E17" s="8"/>
      <c r="F17" s="7"/>
      <c r="G17" s="9"/>
      <c r="H17" s="7"/>
      <c r="I17" s="15"/>
      <c r="J17" s="10"/>
    </row>
    <row r="18" spans="1:10" x14ac:dyDescent="0.25">
      <c r="A18" s="14" t="s">
        <v>184</v>
      </c>
      <c r="B18" s="7"/>
      <c r="C18" s="64"/>
      <c r="D18" s="7"/>
      <c r="E18" s="8"/>
      <c r="F18" s="7"/>
      <c r="G18" s="9"/>
      <c r="H18" s="7"/>
      <c r="I18" s="97">
        <f>SUM(I7:I16)</f>
        <v>314</v>
      </c>
      <c r="J18" s="10"/>
    </row>
    <row r="19" spans="1:10" x14ac:dyDescent="0.25">
      <c r="A19" s="7"/>
      <c r="B19" s="7"/>
      <c r="C19" s="59"/>
      <c r="D19" s="7"/>
      <c r="E19" s="8"/>
      <c r="F19" s="7"/>
      <c r="G19" s="9"/>
      <c r="H19" s="7"/>
      <c r="I19" s="15"/>
      <c r="J19" s="10"/>
    </row>
  </sheetData>
  <mergeCells count="1">
    <mergeCell ref="A1:J1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53</vt:i4>
      </vt:variant>
    </vt:vector>
  </HeadingPairs>
  <TitlesOfParts>
    <vt:vector size="60" baseType="lpstr">
      <vt:lpstr>Title</vt:lpstr>
      <vt:lpstr>Prices</vt:lpstr>
      <vt:lpstr>Summary</vt:lpstr>
      <vt:lpstr>Yr 1 Operating Costs</vt:lpstr>
      <vt:lpstr>Yr 2 Operating Costs</vt:lpstr>
      <vt:lpstr>Capital Costs</vt:lpstr>
      <vt:lpstr>Hutch costs</vt:lpstr>
      <vt:lpstr>ALFG_C</vt:lpstr>
      <vt:lpstr>ALFG_L</vt:lpstr>
      <vt:lpstr>ALFG_T</vt:lpstr>
      <vt:lpstr>ALFP_c</vt:lpstr>
      <vt:lpstr>ALFP_l</vt:lpstr>
      <vt:lpstr>ALFP_T</vt:lpstr>
      <vt:lpstr>b_C</vt:lpstr>
      <vt:lpstr>b_l</vt:lpstr>
      <vt:lpstr>B_t</vt:lpstr>
      <vt:lpstr>Can_c</vt:lpstr>
      <vt:lpstr>Can_l</vt:lpstr>
      <vt:lpstr>Can_t</vt:lpstr>
      <vt:lpstr>CM_c</vt:lpstr>
      <vt:lpstr>CM_l</vt:lpstr>
      <vt:lpstr>CM_t</vt:lpstr>
      <vt:lpstr>CRC</vt:lpstr>
      <vt:lpstr>cs_c</vt:lpstr>
      <vt:lpstr>cs_l</vt:lpstr>
      <vt:lpstr>cs_t</vt:lpstr>
      <vt:lpstr>days</vt:lpstr>
      <vt:lpstr>DDG_c</vt:lpstr>
      <vt:lpstr>DDG_l</vt:lpstr>
      <vt:lpstr>DDG_T</vt:lpstr>
      <vt:lpstr>ear_c</vt:lpstr>
      <vt:lpstr>ear_l</vt:lpstr>
      <vt:lpstr>ear_t</vt:lpstr>
      <vt:lpstr>h</vt:lpstr>
      <vt:lpstr>HAYF_C</vt:lpstr>
      <vt:lpstr>HAYF_L</vt:lpstr>
      <vt:lpstr>HAYF_T</vt:lpstr>
      <vt:lpstr>Head</vt:lpstr>
      <vt:lpstr>HM_C</vt:lpstr>
      <vt:lpstr>HM_L</vt:lpstr>
      <vt:lpstr>hm_t</vt:lpstr>
      <vt:lpstr>hmin_c</vt:lpstr>
      <vt:lpstr>hmin_l</vt:lpstr>
      <vt:lpstr>min_c</vt:lpstr>
      <vt:lpstr>min_l</vt:lpstr>
      <vt:lpstr>min_t</vt:lpstr>
      <vt:lpstr>MR_C</vt:lpstr>
      <vt:lpstr>NR_L</vt:lpstr>
      <vt:lpstr>'Capital Costs'!Print_Area</vt:lpstr>
      <vt:lpstr>Prices!Print_Area</vt:lpstr>
      <vt:lpstr>'Yr 1 Operating Costs'!Print_Area</vt:lpstr>
      <vt:lpstr>'Yr 2 Operating Costs'!Print_Area</vt:lpstr>
      <vt:lpstr>'Yr 1 Operating Costs'!Print_Titles</vt:lpstr>
      <vt:lpstr>'Yr 2 Operating Costs'!Print_Titles</vt:lpstr>
      <vt:lpstr>STRAW_C</vt:lpstr>
      <vt:lpstr>STRAW_L</vt:lpstr>
      <vt:lpstr>STRAW_T</vt:lpstr>
      <vt:lpstr>top_c</vt:lpstr>
      <vt:lpstr>top_l</vt:lpstr>
      <vt:lpstr>top_t</vt:lpstr>
    </vt:vector>
  </TitlesOfParts>
  <Company>University of Idaho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Painter</dc:creator>
  <cp:lastModifiedBy>Painter, Kathleen</cp:lastModifiedBy>
  <cp:lastPrinted>2013-09-18T03:09:43Z</cp:lastPrinted>
  <dcterms:created xsi:type="dcterms:W3CDTF">2012-08-01T21:47:27Z</dcterms:created>
  <dcterms:modified xsi:type="dcterms:W3CDTF">2013-09-18T23:57:28Z</dcterms:modified>
</cp:coreProperties>
</file>